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30" windowWidth="15300" windowHeight="5310" activeTab="0"/>
  </bookViews>
  <sheets>
    <sheet name="Appendix B" sheetId="1" r:id="rId1"/>
    <sheet name="Capital Receipts" sheetId="2" state="hidden" r:id="rId2"/>
    <sheet name="Agresso" sheetId="3" state="hidden" r:id="rId3"/>
    <sheet name="Sheet3" sheetId="4" state="hidden" r:id="rId4"/>
    <sheet name="Sheet4" sheetId="5" state="hidden" r:id="rId5"/>
    <sheet name="Sheet5" sheetId="6" state="hidden" r:id="rId6"/>
    <sheet name="Profiles" sheetId="7" state="hidden" r:id="rId7"/>
  </sheets>
  <definedNames>
    <definedName name="_xlnm.Print_Area" localSheetId="0">'Appendix B'!$B$1:$R$221</definedName>
    <definedName name="_xlnm.Print_Titles" localSheetId="0">'Appendix B'!$1:$4</definedName>
    <definedName name="Z_083E430D_8666_4E99_9776_EB11F08276E4_.wvu.Cols" localSheetId="0" hidden="1">'Appendix B'!$A:$A,'Appendix B'!$P:$R</definedName>
    <definedName name="Z_083E430D_8666_4E99_9776_EB11F08276E4_.wvu.PrintArea" localSheetId="0" hidden="1">'Appendix B'!$B$1:$R$221</definedName>
    <definedName name="Z_083E430D_8666_4E99_9776_EB11F08276E4_.wvu.PrintTitles" localSheetId="0" hidden="1">'Appendix B'!$1:$4</definedName>
    <definedName name="Z_083E430D_8666_4E99_9776_EB11F08276E4_.wvu.Rows" localSheetId="2" hidden="1">'Agresso'!$125:$238</definedName>
    <definedName name="Z_083E430D_8666_4E99_9776_EB11F08276E4_.wvu.Rows" localSheetId="0" hidden="1">'Appendix B'!$198:$229</definedName>
    <definedName name="Z_0AC1B8E0_EF6B_428A_9D1F_C726345B747F_.wvu.Cols" localSheetId="0" hidden="1">'Appendix B'!$A:$A,'Appendix B'!$P:$R</definedName>
    <definedName name="Z_0AC1B8E0_EF6B_428A_9D1F_C726345B747F_.wvu.PrintArea" localSheetId="0" hidden="1">'Appendix B'!$B$1:$R$221</definedName>
    <definedName name="Z_0AC1B8E0_EF6B_428A_9D1F_C726345B747F_.wvu.PrintTitles" localSheetId="0" hidden="1">'Appendix B'!$1:$4</definedName>
    <definedName name="Z_0AC1B8E0_EF6B_428A_9D1F_C726345B747F_.wvu.Rows" localSheetId="2" hidden="1">'Agresso'!$125:$238</definedName>
    <definedName name="Z_0AC1B8E0_EF6B_428A_9D1F_C726345B747F_.wvu.Rows" localSheetId="0" hidden="1">'Appendix B'!$198:$229</definedName>
    <definedName name="Z_34AF6F58_90C0_4733_A2DC_F86ACAC36B1A_.wvu.Cols" localSheetId="0" hidden="1">'Appendix B'!$A:$A,'Appendix B'!$P:$R</definedName>
    <definedName name="Z_34AF6F58_90C0_4733_A2DC_F86ACAC36B1A_.wvu.PrintArea" localSheetId="0" hidden="1">'Appendix B'!$B$1:$R$221</definedName>
    <definedName name="Z_34AF6F58_90C0_4733_A2DC_F86ACAC36B1A_.wvu.PrintTitles" localSheetId="0" hidden="1">'Appendix B'!$1:$4</definedName>
    <definedName name="Z_34AF6F58_90C0_4733_A2DC_F86ACAC36B1A_.wvu.Rows" localSheetId="2" hidden="1">'Agresso'!$125:$238</definedName>
    <definedName name="Z_34AF6F58_90C0_4733_A2DC_F86ACAC36B1A_.wvu.Rows" localSheetId="0" hidden="1">'Appendix B'!$198:$229</definedName>
    <definedName name="Z_92986EF0_5136_4B8B_A2A8_32CB954814DF_.wvu.Cols" localSheetId="0" hidden="1">'Appendix B'!$A:$A,'Appendix B'!$P:$R</definedName>
    <definedName name="Z_92986EF0_5136_4B8B_A2A8_32CB954814DF_.wvu.PrintArea" localSheetId="0" hidden="1">'Appendix B'!$B$1:$R$221</definedName>
    <definedName name="Z_92986EF0_5136_4B8B_A2A8_32CB954814DF_.wvu.PrintTitles" localSheetId="0" hidden="1">'Appendix B'!$1:$4</definedName>
    <definedName name="Z_92986EF0_5136_4B8B_A2A8_32CB954814DF_.wvu.Rows" localSheetId="2" hidden="1">'Agresso'!$125:$238</definedName>
    <definedName name="Z_92986EF0_5136_4B8B_A2A8_32CB954814DF_.wvu.Rows" localSheetId="0" hidden="1">'Appendix B'!$198:$229</definedName>
    <definedName name="Z_967D872C_1BD4_46DF_9030_3F23C404D7A2_.wvu.Cols" localSheetId="0" hidden="1">'Appendix B'!$A:$A,'Appendix B'!$O:$R</definedName>
    <definedName name="Z_967D872C_1BD4_46DF_9030_3F23C404D7A2_.wvu.PrintArea" localSheetId="0" hidden="1">'Appendix B'!$B$1:$R$221</definedName>
    <definedName name="Z_967D872C_1BD4_46DF_9030_3F23C404D7A2_.wvu.PrintTitles" localSheetId="0" hidden="1">'Appendix B'!$1:$4</definedName>
    <definedName name="Z_967D872C_1BD4_46DF_9030_3F23C404D7A2_.wvu.Rows" localSheetId="2" hidden="1">'Agresso'!$125:$238</definedName>
    <definedName name="Z_967D872C_1BD4_46DF_9030_3F23C404D7A2_.wvu.Rows" localSheetId="0" hidden="1">'Appendix B'!$11:$24,'Appendix B'!$27:$32,'Appendix B'!$35:$44,'Appendix B'!$198:$229</definedName>
    <definedName name="Z_D6EF83C6_516B_45CF_86BA_83A07047C7A6_.wvu.Cols" localSheetId="0" hidden="1">'Appendix B'!$A:$A,'Appendix B'!$O:$R</definedName>
    <definedName name="Z_D6EF83C6_516B_45CF_86BA_83A07047C7A6_.wvu.PrintArea" localSheetId="0" hidden="1">'Appendix B'!$B$1:$R$221</definedName>
    <definedName name="Z_D6EF83C6_516B_45CF_86BA_83A07047C7A6_.wvu.PrintTitles" localSheetId="0" hidden="1">'Appendix B'!$1:$4</definedName>
    <definedName name="Z_D6EF83C6_516B_45CF_86BA_83A07047C7A6_.wvu.Rows" localSheetId="2" hidden="1">'Agresso'!$125:$238</definedName>
    <definedName name="Z_D6EF83C6_516B_45CF_86BA_83A07047C7A6_.wvu.Rows" localSheetId="0" hidden="1">'Appendix B'!$11:$24,'Appendix B'!$27:$32,'Appendix B'!$35:$44,'Appendix B'!$198:$229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<sst xmlns="http://schemas.openxmlformats.org/spreadsheetml/2006/main" count="1698" uniqueCount="754">
  <si>
    <t>Capital Scheme</t>
  </si>
  <si>
    <t>Budget    2014/15</t>
  </si>
  <si>
    <t>Budget    2015/16</t>
  </si>
  <si>
    <t>Outturn Variance due to Slippage</t>
  </si>
  <si>
    <t>Outrun variance due to Over/ Under spend</t>
  </si>
  <si>
    <t>£</t>
  </si>
  <si>
    <t>F1323</t>
  </si>
  <si>
    <t>F1323 Bridge Over Fiddlers Stream</t>
  </si>
  <si>
    <t>F6013</t>
  </si>
  <si>
    <t>F6013 Bullingdon Community Centre -Enhancement of Community Facilities</t>
  </si>
  <si>
    <t>F6015</t>
  </si>
  <si>
    <t>F6015 Slade Area Public Work of Art</t>
  </si>
  <si>
    <t>F7008</t>
  </si>
  <si>
    <t>F7008 Landscaping Work at Lamarsh Road</t>
  </si>
  <si>
    <t>F7019</t>
  </si>
  <si>
    <t>F7019 Work of Art at Rose Hill</t>
  </si>
  <si>
    <t>M5014</t>
  </si>
  <si>
    <t>M5014 West End Partnership</t>
  </si>
  <si>
    <t/>
  </si>
  <si>
    <t xml:space="preserve">City </t>
  </si>
  <si>
    <t>City Development</t>
  </si>
  <si>
    <t>E3511</t>
  </si>
  <si>
    <t>E3511 Renovation Grants</t>
  </si>
  <si>
    <t>E3521</t>
  </si>
  <si>
    <t>E3521 Disabled Facilities Grants</t>
  </si>
  <si>
    <t>E3553</t>
  </si>
  <si>
    <t>E3553 Carbon Reduction</t>
  </si>
  <si>
    <t>Envir</t>
  </si>
  <si>
    <t>Environmental Development</t>
  </si>
  <si>
    <t>G1013</t>
  </si>
  <si>
    <t>G1013 Dawson Street Gardens</t>
  </si>
  <si>
    <t>G3013</t>
  </si>
  <si>
    <t>G3013 Diamond Place car park footpath extension</t>
  </si>
  <si>
    <t>G3014</t>
  </si>
  <si>
    <t>G3014 East Oxford Community Association Improvements</t>
  </si>
  <si>
    <t>G4006</t>
  </si>
  <si>
    <t>G4006 Florence Park CC Kitchen</t>
  </si>
  <si>
    <t>G6010</t>
  </si>
  <si>
    <t>G6010 Mount Place Square Refurbishment</t>
  </si>
  <si>
    <t>G6011</t>
  </si>
  <si>
    <t>G6011 St Lukes Church Hall Extension</t>
  </si>
  <si>
    <t>G6012</t>
  </si>
  <si>
    <t>G3015</t>
  </si>
  <si>
    <t>G3015 NE Marston Croft Road Recreation Ground</t>
  </si>
  <si>
    <t>G3016</t>
  </si>
  <si>
    <t>G3016 Peat Moors all weather pitch</t>
  </si>
  <si>
    <t>G3017</t>
  </si>
  <si>
    <t>G3017 CCTV Replacement Programme</t>
  </si>
  <si>
    <t>M5015</t>
  </si>
  <si>
    <t>M5015 Old Fire Station</t>
  </si>
  <si>
    <t>Commu</t>
  </si>
  <si>
    <t>Communities and Housing</t>
  </si>
  <si>
    <t>A4808</t>
  </si>
  <si>
    <t>A4808 Blackbird Leys LC Improvements</t>
  </si>
  <si>
    <t>A4812</t>
  </si>
  <si>
    <t>A4812 Building Improvements (GF Leisure)</t>
  </si>
  <si>
    <t>A4813</t>
  </si>
  <si>
    <t>A4813 Hinksey Pools main pool liner</t>
  </si>
  <si>
    <t>A4814</t>
  </si>
  <si>
    <t>A4814 Leisure Centre substantive repairs</t>
  </si>
  <si>
    <t>Offices for the Future</t>
  </si>
  <si>
    <t>Q2000</t>
  </si>
  <si>
    <t>Q2000 Offices for the Future</t>
  </si>
  <si>
    <t>Community Centres</t>
  </si>
  <si>
    <t>B0022</t>
  </si>
  <si>
    <t>B0022 DDA East Oxford Community Centre Lift</t>
  </si>
  <si>
    <t>B0033</t>
  </si>
  <si>
    <t>B0033 Community Centres</t>
  </si>
  <si>
    <t>B0034</t>
  </si>
  <si>
    <t>B0034 Rose Hill Community Centre</t>
  </si>
  <si>
    <t>Covered Market</t>
  </si>
  <si>
    <t>B0010</t>
  </si>
  <si>
    <t>B0010 Covered Market signage improvements</t>
  </si>
  <si>
    <t>B0027</t>
  </si>
  <si>
    <t>B0027 Covered Market - Improvements &amp; Upgrade to Roof</t>
  </si>
  <si>
    <t>B0028</t>
  </si>
  <si>
    <t>B0028 Covered Market - New Roof Structures to High St Entrances</t>
  </si>
  <si>
    <t>B0036</t>
  </si>
  <si>
    <t>B0036 Investment ~ Covered Market</t>
  </si>
  <si>
    <t>B0063</t>
  </si>
  <si>
    <t>B0063 Covered Market Replacement Sprinkler System</t>
  </si>
  <si>
    <t>B0064</t>
  </si>
  <si>
    <t>B0064 Covered Market - Improvements to Emergency Lighting</t>
  </si>
  <si>
    <t>Investment Properties</t>
  </si>
  <si>
    <t>B0003</t>
  </si>
  <si>
    <t>B0003 Roof Repairs &amp; Ext Refurbishment 44-46 George St</t>
  </si>
  <si>
    <t>B0040</t>
  </si>
  <si>
    <t>B0040 Investment ~ Broad Street</t>
  </si>
  <si>
    <t>B0041</t>
  </si>
  <si>
    <t>B0041 Investment - Misc City Centre Properties</t>
  </si>
  <si>
    <t>B0042</t>
  </si>
  <si>
    <t>B0042 Investment - Gloucester Green</t>
  </si>
  <si>
    <t>B0044</t>
  </si>
  <si>
    <t>B0044 Investment - Outer City</t>
  </si>
  <si>
    <t>B0045</t>
  </si>
  <si>
    <t>B0045 Investment ~ St. Michael’s Street</t>
  </si>
  <si>
    <t>B0046</t>
  </si>
  <si>
    <t>B0046 Investment - Ship Street</t>
  </si>
  <si>
    <t>B0070</t>
  </si>
  <si>
    <t>B0070 Ramsay House Replacement Comfort Cooling System</t>
  </si>
  <si>
    <t>Miscellaneous Council Properties</t>
  </si>
  <si>
    <t>B0031</t>
  </si>
  <si>
    <t>B0031 Miscellaneous Admin Buildings</t>
  </si>
  <si>
    <t>B0035</t>
  </si>
  <si>
    <t>B0035 Miscellaneous Civic Properties</t>
  </si>
  <si>
    <t>B0037</t>
  </si>
  <si>
    <t>B0037 Car Parks</t>
  </si>
  <si>
    <t>B0039</t>
  </si>
  <si>
    <t>B0039 Houses and Lodges</t>
  </si>
  <si>
    <t>B0052</t>
  </si>
  <si>
    <t>B0052 Miscellaneous Properties</t>
  </si>
  <si>
    <t>B0053</t>
  </si>
  <si>
    <t>B0053 Public Toilets</t>
  </si>
  <si>
    <t>B0055</t>
  </si>
  <si>
    <t>B0055 Property Surveys</t>
  </si>
  <si>
    <t>B0059</t>
  </si>
  <si>
    <t>B0059 FIT Panels on Leisure Buildings</t>
  </si>
  <si>
    <t>B0060</t>
  </si>
  <si>
    <t>B0060 Feasibility Studies Depot Relocation</t>
  </si>
  <si>
    <t>Parks &amp; Cemeteries</t>
  </si>
  <si>
    <t>B0048</t>
  </si>
  <si>
    <t>B0048 Leisure - Cemeteries</t>
  </si>
  <si>
    <t>B0050</t>
  </si>
  <si>
    <t>B0050 Leisure ~ Depots</t>
  </si>
  <si>
    <t>B0051</t>
  </si>
  <si>
    <t>B0051 Leisure - Pavilions</t>
  </si>
  <si>
    <t>B0065</t>
  </si>
  <si>
    <t>B0065 Parks &amp; Cemetery - Masonry Walls &amp; Path Improvements</t>
  </si>
  <si>
    <t>B0067</t>
  </si>
  <si>
    <t>B0067 Fencing Repairs across the City</t>
  </si>
  <si>
    <t>B0071</t>
  </si>
  <si>
    <t>B0071 Parks properties (H&amp;S works)</t>
  </si>
  <si>
    <t>A4823</t>
  </si>
  <si>
    <t>A4823 Cemetery Development</t>
  </si>
  <si>
    <t>Town Hall</t>
  </si>
  <si>
    <t>B0054</t>
  </si>
  <si>
    <t>B0054 Town Hall</t>
  </si>
  <si>
    <t>B0056</t>
  </si>
  <si>
    <t xml:space="preserve">B0056 City Centre Office Security </t>
  </si>
  <si>
    <t>B0057</t>
  </si>
  <si>
    <t>B0057- Town Hall Fire Alarm</t>
  </si>
  <si>
    <t>B0068</t>
  </si>
  <si>
    <t>B0068 Town Hall - Conference System Refurbishment</t>
  </si>
  <si>
    <t>Corpo</t>
  </si>
  <si>
    <t>Corporate Assets</t>
  </si>
  <si>
    <t>C3041</t>
  </si>
  <si>
    <t>C3041 New server for telephone system</t>
  </si>
  <si>
    <t>C3042</t>
  </si>
  <si>
    <t>C3042 Customer First Programme</t>
  </si>
  <si>
    <t>Custo</t>
  </si>
  <si>
    <t>Customer Services</t>
  </si>
  <si>
    <t>A1300</t>
  </si>
  <si>
    <t>A1300 Playground Refurbishment</t>
  </si>
  <si>
    <t>A1301</t>
  </si>
  <si>
    <t>A1301 Play Barton</t>
  </si>
  <si>
    <t>A4810</t>
  </si>
  <si>
    <t>A4810 New Build Completion Pool</t>
  </si>
  <si>
    <t>Z3008</t>
  </si>
  <si>
    <t>Z3010</t>
  </si>
  <si>
    <t>Z3010 Rosehill/Iffley Play Sites</t>
  </si>
  <si>
    <t>A4815</t>
  </si>
  <si>
    <t>A4815 Leisure Centre Improvement Work</t>
  </si>
  <si>
    <t>A4830</t>
  </si>
  <si>
    <t>A4830 Develop new burial space</t>
  </si>
  <si>
    <t>A4818</t>
  </si>
  <si>
    <t>A4818 Lye Valley &amp; Chiswell Valley Walkways</t>
  </si>
  <si>
    <t>A4816</t>
  </si>
  <si>
    <t>A4816 Sports Pavilions</t>
  </si>
  <si>
    <t>A4819</t>
  </si>
  <si>
    <t>A4819 Rose Hill Cemetery Water Leak</t>
  </si>
  <si>
    <t>A4820</t>
  </si>
  <si>
    <t>A4820 Upgrade Existing Tennis Courts</t>
  </si>
  <si>
    <t>A4821</t>
  </si>
  <si>
    <t>A4821 Upgrade Existing  Multi-Use Games Area</t>
  </si>
  <si>
    <t>A4822</t>
  </si>
  <si>
    <t>A4822 Recycling &amp; Bin Improvement (City Parks)</t>
  </si>
  <si>
    <t>F0015</t>
  </si>
  <si>
    <t>F0015 Cycle Oxford</t>
  </si>
  <si>
    <t>City Leisure</t>
  </si>
  <si>
    <t>F0011</t>
  </si>
  <si>
    <t>F0011 Pay &amp; Display Parking in the Car Parks</t>
  </si>
  <si>
    <t>F0012</t>
  </si>
  <si>
    <t>F0012 P &amp; R Purchase of Capital Items - Peartree, Redbridge</t>
  </si>
  <si>
    <t>F0014</t>
  </si>
  <si>
    <t>F0014 Purchase of ANPR for use in car park enforcement</t>
  </si>
  <si>
    <t>R0005</t>
  </si>
  <si>
    <t>R0005 MT Vehicles/Plant Replacement Programme.</t>
  </si>
  <si>
    <t>T2266</t>
  </si>
  <si>
    <t>T2266 Purchase of Brown Bins Waste Recycling</t>
  </si>
  <si>
    <t>T2267</t>
  </si>
  <si>
    <t>T2267 Purchase of two hand operated street sweepers</t>
  </si>
  <si>
    <t>T2268</t>
  </si>
  <si>
    <t>T2268 Purchase of two vehicles for garden waste collection</t>
  </si>
  <si>
    <t>T2269</t>
  </si>
  <si>
    <t>T2269 Toilet improvements</t>
  </si>
  <si>
    <t>T2270</t>
  </si>
  <si>
    <t>T2270 Bin stores for council flats to assist recycling</t>
  </si>
  <si>
    <t>T2271</t>
  </si>
  <si>
    <t>T2271 Low emission vehicle for litter bin collection</t>
  </si>
  <si>
    <t>T2272</t>
  </si>
  <si>
    <t>T2272 Wyatt Road Resurfacing Works</t>
  </si>
  <si>
    <t>Direct</t>
  </si>
  <si>
    <t>Direct Services</t>
  </si>
  <si>
    <t>C3039</t>
  </si>
  <si>
    <t>C3039 ICT Infrastructure</t>
  </si>
  <si>
    <t>C3043</t>
  </si>
  <si>
    <t>C3043 ICT Development</t>
  </si>
  <si>
    <t>C3044</t>
  </si>
  <si>
    <t>C3044 Software Licences</t>
  </si>
  <si>
    <t>ICT s</t>
  </si>
  <si>
    <t>GF To</t>
  </si>
  <si>
    <t>GF Total</t>
  </si>
  <si>
    <t>Exter</t>
  </si>
  <si>
    <t>External Contracts</t>
  </si>
  <si>
    <t>N6384</t>
  </si>
  <si>
    <t>N6384 Foresters Towers</t>
  </si>
  <si>
    <t>N6387</t>
  </si>
  <si>
    <t>N6387 Controlled Entry</t>
  </si>
  <si>
    <t>N6393</t>
  </si>
  <si>
    <t>N6393 External Doors</t>
  </si>
  <si>
    <t>N7020</t>
  </si>
  <si>
    <t>N7020 External Adaptations</t>
  </si>
  <si>
    <t>N7021</t>
  </si>
  <si>
    <t>N7021 Extensions</t>
  </si>
  <si>
    <t>N7018</t>
  </si>
  <si>
    <t>N7018 Minox</t>
  </si>
  <si>
    <t>N6394</t>
  </si>
  <si>
    <t>N6394 Windows</t>
  </si>
  <si>
    <t>N6389</t>
  </si>
  <si>
    <t>N6389 Damp-proof works (K&amp;B)</t>
  </si>
  <si>
    <t>N6392</t>
  </si>
  <si>
    <t>N6392 Roofing</t>
  </si>
  <si>
    <t>N6386</t>
  </si>
  <si>
    <t>N6386 Structural</t>
  </si>
  <si>
    <t>N7010</t>
  </si>
  <si>
    <t>N7010 Headley House - Refurbishment</t>
  </si>
  <si>
    <t>N6427</t>
  </si>
  <si>
    <t>N6427 Shops</t>
  </si>
  <si>
    <t>N6396</t>
  </si>
  <si>
    <t>N6396 Sheltered Blocks</t>
  </si>
  <si>
    <t>N7028</t>
  </si>
  <si>
    <t>N7028 Non Dwelling HRA Assets</t>
  </si>
  <si>
    <t>N7026</t>
  </si>
  <si>
    <t>N7026 Communal Areas</t>
  </si>
  <si>
    <t>N7027</t>
  </si>
  <si>
    <t>N7027 Environmental Improvements</t>
  </si>
  <si>
    <t>New B</t>
  </si>
  <si>
    <t>New Build</t>
  </si>
  <si>
    <t>N7011</t>
  </si>
  <si>
    <t>N7011 Cardinal House - Refurbishment</t>
  </si>
  <si>
    <t>N7019</t>
  </si>
  <si>
    <t>N7019 Lambourn Road</t>
  </si>
  <si>
    <t>N7029</t>
  </si>
  <si>
    <t>N7029 HCA New Build</t>
  </si>
  <si>
    <t>Inter</t>
  </si>
  <si>
    <t>Internal Contracts</t>
  </si>
  <si>
    <t>N6385</t>
  </si>
  <si>
    <t>N6385 Adaptations for disabled</t>
  </si>
  <si>
    <t>N6390</t>
  </si>
  <si>
    <t>N6390 Kitchens &amp; Bathrooms</t>
  </si>
  <si>
    <t>N6391</t>
  </si>
  <si>
    <t>N6391 Heating</t>
  </si>
  <si>
    <t>N6388</t>
  </si>
  <si>
    <t>N6388 Major Voids</t>
  </si>
  <si>
    <t>N6395</t>
  </si>
  <si>
    <t>N6395 Electrics</t>
  </si>
  <si>
    <t>Housing Revenue Account</t>
  </si>
  <si>
    <t>Grand Total</t>
  </si>
  <si>
    <t>Financing - General Fund</t>
  </si>
  <si>
    <t>Developer contributions</t>
  </si>
  <si>
    <t>Government Funding</t>
  </si>
  <si>
    <t>Capital Receipts</t>
  </si>
  <si>
    <t>Direct Revenue Funding</t>
  </si>
  <si>
    <t>Revenue Reserves</t>
  </si>
  <si>
    <t>DRF For Vehicles</t>
  </si>
  <si>
    <t>Prudential Borrowing</t>
  </si>
  <si>
    <t>Total General Fund Financing</t>
  </si>
  <si>
    <t>Financing - HRA</t>
  </si>
  <si>
    <t>MRR</t>
  </si>
  <si>
    <t>Capital receipts</t>
  </si>
  <si>
    <t>Decent Homes Reserve</t>
  </si>
  <si>
    <t>External Contributions</t>
  </si>
  <si>
    <t>Total HRA Financing</t>
  </si>
  <si>
    <t>Total Financing</t>
  </si>
  <si>
    <t xml:space="preserve">2013/14 Budget with Carry Forwards </t>
  </si>
  <si>
    <t>2013/14 Budget Approved by Council           (Original Estimate)</t>
  </si>
  <si>
    <t>Costc</t>
  </si>
  <si>
    <t>Costc (T)</t>
  </si>
  <si>
    <t>Approved budget</t>
  </si>
  <si>
    <t>Amount</t>
  </si>
  <si>
    <t>Playground Refurbishment</t>
  </si>
  <si>
    <t>Play Barton</t>
  </si>
  <si>
    <t>A3129</t>
  </si>
  <si>
    <t>Donnington Recreation Ground Improvements</t>
  </si>
  <si>
    <t>Blackbird Leys LC Improvements</t>
  </si>
  <si>
    <t>New Build Competion Pool</t>
  </si>
  <si>
    <t>Leisure Centre Substantive Works</t>
  </si>
  <si>
    <t>Leisure Centre Improvement Work</t>
  </si>
  <si>
    <t>Sports Pavillions</t>
  </si>
  <si>
    <t>Lye Valley &amp; Chiswell Valley Walkways</t>
  </si>
  <si>
    <t>Upgrade Tennis Courts</t>
  </si>
  <si>
    <t>Upgrade multi-Use Games Area</t>
  </si>
  <si>
    <t>A4826</t>
  </si>
  <si>
    <t>Parks Works</t>
  </si>
  <si>
    <t>A4827</t>
  </si>
  <si>
    <t>Cowley Outdoor Gym</t>
  </si>
  <si>
    <t>A4828</t>
  </si>
  <si>
    <t>Valentia Road Playground</t>
  </si>
  <si>
    <t>A4829</t>
  </si>
  <si>
    <t>Oxford Spires Academy</t>
  </si>
  <si>
    <t>Develop New Burial Space</t>
  </si>
  <si>
    <t>Covered Market - signage improvements</t>
  </si>
  <si>
    <t>Covered Market - New Roof Structures to High St En</t>
  </si>
  <si>
    <t>Rose Hill Community Centre</t>
  </si>
  <si>
    <t>Investment - Covered Market</t>
  </si>
  <si>
    <t>Car Parks</t>
  </si>
  <si>
    <t>Investment - Broad Street</t>
  </si>
  <si>
    <t>Investment - Misc City Centre Properties</t>
  </si>
  <si>
    <t>B0043</t>
  </si>
  <si>
    <t>Investment - George Street</t>
  </si>
  <si>
    <t>Investment - Outer City</t>
  </si>
  <si>
    <t>Investment - St Michaels Street</t>
  </si>
  <si>
    <t>Investment - Ship Street</t>
  </si>
  <si>
    <t>Leisure - Cemeteries</t>
  </si>
  <si>
    <t>Leisure - Depots</t>
  </si>
  <si>
    <t>Leisure - Pavilions</t>
  </si>
  <si>
    <t>Miscellaneous Properties</t>
  </si>
  <si>
    <t>Depot Relocation Studies</t>
  </si>
  <si>
    <t>Covered Market Sprinkler System</t>
  </si>
  <si>
    <t>Parks &amp; Cemetery - Masonry Wall &amp; Path Improvement</t>
  </si>
  <si>
    <t>Fencing Repairs Across the City</t>
  </si>
  <si>
    <t>Town Hall - Conference System Refurbishment</t>
  </si>
  <si>
    <t>Parks Properties Health and Safety Works</t>
  </si>
  <si>
    <t>B0072</t>
  </si>
  <si>
    <t>23-25 Broad Street</t>
  </si>
  <si>
    <t>B0073</t>
  </si>
  <si>
    <t>Clearing Channels under Frideswide Bridge</t>
  </si>
  <si>
    <t>B0074</t>
  </si>
  <si>
    <t>R &amp; D Feasibility Fund</t>
  </si>
  <si>
    <t>B0075</t>
  </si>
  <si>
    <t>Stage 2 Museum of Oxford Development</t>
  </si>
  <si>
    <t>B0076</t>
  </si>
  <si>
    <t>Town Hall Improvements</t>
  </si>
  <si>
    <t>B0077</t>
  </si>
  <si>
    <t>Direct Services Depots</t>
  </si>
  <si>
    <t>B0078</t>
  </si>
  <si>
    <t>Allotments</t>
  </si>
  <si>
    <t>B0079</t>
  </si>
  <si>
    <t>Street Sports Sites</t>
  </si>
  <si>
    <t>B0080</t>
  </si>
  <si>
    <t>Templars Square Refurbishment/Relocation</t>
  </si>
  <si>
    <t>ICT Infrastructure</t>
  </si>
  <si>
    <t>New server for telephone system</t>
  </si>
  <si>
    <t>Customer First Programme</t>
  </si>
  <si>
    <t>Software Licences</t>
  </si>
  <si>
    <t>C3045</t>
  </si>
  <si>
    <t>Mobile Working</t>
  </si>
  <si>
    <t>C3046</t>
  </si>
  <si>
    <t>System Integration Capability</t>
  </si>
  <si>
    <t>C3047</t>
  </si>
  <si>
    <t>Oracle 11g Upgrade</t>
  </si>
  <si>
    <t>C3048</t>
  </si>
  <si>
    <t>Server 2008 Upgrade for Idox</t>
  </si>
  <si>
    <t>C3049</t>
  </si>
  <si>
    <t>Source Code Management</t>
  </si>
  <si>
    <t>C3050</t>
  </si>
  <si>
    <t>Tree Managment Software</t>
  </si>
  <si>
    <t>Renovation Grants</t>
  </si>
  <si>
    <t>Disabled Facilities Grants</t>
  </si>
  <si>
    <t>Carbon Reduction</t>
  </si>
  <si>
    <t>Pay &amp; Display Parking in the Car Parks</t>
  </si>
  <si>
    <t>P &amp; R Puchase of Capital Items - Peartree, Redbrid</t>
  </si>
  <si>
    <t>ANPR for Car Park Enforcement</t>
  </si>
  <si>
    <t>Cycle Oxford</t>
  </si>
  <si>
    <t>Bridge Over Fiddlers Stream</t>
  </si>
  <si>
    <t>F7006</t>
  </si>
  <si>
    <t>Work of Art - Littlemore</t>
  </si>
  <si>
    <t>F7007</t>
  </si>
  <si>
    <t>Woodfarm / Headington Community Centre - Improveme</t>
  </si>
  <si>
    <t>F7009</t>
  </si>
  <si>
    <t>CCTV Gipsy Lane Campus</t>
  </si>
  <si>
    <t>F7010</t>
  </si>
  <si>
    <t>Work of Art Said Business School</t>
  </si>
  <si>
    <t>F7011</t>
  </si>
  <si>
    <t>Headington Environmental Improvements</t>
  </si>
  <si>
    <t>F7012</t>
  </si>
  <si>
    <t>Rose Hill Recreation Ground Improvements</t>
  </si>
  <si>
    <t>F7020</t>
  </si>
  <si>
    <t>Work of Art Shotover View</t>
  </si>
  <si>
    <t>Dawson Street Gardens</t>
  </si>
  <si>
    <t>Diamond Place car park footpath extension</t>
  </si>
  <si>
    <t>East Oxford Community Associaltion Improvements</t>
  </si>
  <si>
    <t>Florence Park CC Kitchen</t>
  </si>
  <si>
    <t>G6013</t>
  </si>
  <si>
    <t>Urban Broadband</t>
  </si>
  <si>
    <t>G6014</t>
  </si>
  <si>
    <t>CCTV Project</t>
  </si>
  <si>
    <t>G6015</t>
  </si>
  <si>
    <t>CCTV Rosehill Parade</t>
  </si>
  <si>
    <t>West End Partnership (Growth Points Grant)</t>
  </si>
  <si>
    <t>Old Fire Station</t>
  </si>
  <si>
    <t>Foresters Towers</t>
  </si>
  <si>
    <t>Adaptations for disabled</t>
  </si>
  <si>
    <t>Structural</t>
  </si>
  <si>
    <t>Controlled Entry</t>
  </si>
  <si>
    <t>Major Voids</t>
  </si>
  <si>
    <t>Damp-proof works (K&amp;B)</t>
  </si>
  <si>
    <t>Kitchens &amp; Bathrooms</t>
  </si>
  <si>
    <t>Heating</t>
  </si>
  <si>
    <t>Roofing</t>
  </si>
  <si>
    <t>External Doors</t>
  </si>
  <si>
    <t>Windows</t>
  </si>
  <si>
    <t>Electrics</t>
  </si>
  <si>
    <t>Shops</t>
  </si>
  <si>
    <t>Minox</t>
  </si>
  <si>
    <t>External Adaptations</t>
  </si>
  <si>
    <t>Communal Areas</t>
  </si>
  <si>
    <t>Environmental Improvements</t>
  </si>
  <si>
    <t>Non Dwelling HRA Assets</t>
  </si>
  <si>
    <t>HCA New Build</t>
  </si>
  <si>
    <t>N7030</t>
  </si>
  <si>
    <t>Horspath Road Depot</t>
  </si>
  <si>
    <t>N7031</t>
  </si>
  <si>
    <t>Homes at Barton</t>
  </si>
  <si>
    <t>N7032</t>
  </si>
  <si>
    <t>Estate Enhancements and Regeneration</t>
  </si>
  <si>
    <t>MT Vehicles/Plant Replacement Prog.</t>
  </si>
  <si>
    <t>Toilet Improvements</t>
  </si>
  <si>
    <t>Bin Stores for Council Flats to Assist Recycling</t>
  </si>
  <si>
    <t>T2273</t>
  </si>
  <si>
    <t>Car Parks Resurfacing</t>
  </si>
  <si>
    <t>T2274</t>
  </si>
  <si>
    <t>Gloucester Green Car Park Waterproofing</t>
  </si>
  <si>
    <t>A3129 Donnington Recreation Ground Improvements</t>
  </si>
  <si>
    <t>A4826 Parks Works</t>
  </si>
  <si>
    <t>A4827 Cowley Outdoor Gym</t>
  </si>
  <si>
    <t>A4828 Valentia Road Playground</t>
  </si>
  <si>
    <t>A4829 Oxford Spires Academy</t>
  </si>
  <si>
    <t>B0043 Investment George Street</t>
  </si>
  <si>
    <t>B0072 23-25 Broad Street</t>
  </si>
  <si>
    <t>B0073 Clearing Channels under Frideswide Bridge</t>
  </si>
  <si>
    <t>B0074 R &amp; D Feasibility Fund</t>
  </si>
  <si>
    <t>B0075 Stage 2 Museum of Oxford Development</t>
  </si>
  <si>
    <t>B0077 Direct Services Depots</t>
  </si>
  <si>
    <t>B0078 Allotments</t>
  </si>
  <si>
    <t>B0079 Street Sports Sites</t>
  </si>
  <si>
    <t>B0080 Templars Square Refurbishment/Relocation</t>
  </si>
  <si>
    <t>B0076 Town Hall Improvements (OFTF2)</t>
  </si>
  <si>
    <t>Policy Culture &amp; Communications</t>
  </si>
  <si>
    <t>Leisure Centres</t>
  </si>
  <si>
    <t>C3045 Mobile Working</t>
  </si>
  <si>
    <t>C3046 System Integration Capability</t>
  </si>
  <si>
    <t>C3047 Oracle 11g Upgrade</t>
  </si>
  <si>
    <t>C3048 Server 2008 Upgrade for Idox</t>
  </si>
  <si>
    <t>C3049 Source Code Management</t>
  </si>
  <si>
    <t>C3050 Tree Managment Software</t>
  </si>
  <si>
    <t>F7006 Work of Art - Littlemore</t>
  </si>
  <si>
    <t>F7007 Woodfarm / Headington Community Centre - Improveme</t>
  </si>
  <si>
    <t>F7009 CCTV Gipsy Lane Campus</t>
  </si>
  <si>
    <t>F7010 Work of Art Said Business School</t>
  </si>
  <si>
    <t>F7011 Headington Environmental Improvements</t>
  </si>
  <si>
    <t>F7012 Rose Hill Recreation Ground Improvements</t>
  </si>
  <si>
    <t>F7020 Work of Art Shotover View</t>
  </si>
  <si>
    <t>Business Improvement &amp; Technology</t>
  </si>
  <si>
    <t>Leisure,Parks &amp; Communities</t>
  </si>
  <si>
    <t>Communities and Housing (Now Leisure, Parks &amp; Communities)</t>
  </si>
  <si>
    <t>Corporate Assets (Now Housing &amp; Property)</t>
  </si>
  <si>
    <t>Environmental Development (Including Community Safety)</t>
  </si>
  <si>
    <t>G6013 Urban Broadband</t>
  </si>
  <si>
    <t>G6014 CCTV Project</t>
  </si>
  <si>
    <t>G6015 CCTV Rosehill Parade</t>
  </si>
  <si>
    <t>N7030 Horspath Road Depot</t>
  </si>
  <si>
    <t>N7031 Homes at Barton</t>
  </si>
  <si>
    <t>N7032 Estate Enhancements and Regeneration</t>
  </si>
  <si>
    <t>T2273 Car Parks Resurfacing</t>
  </si>
  <si>
    <t>T2274 Gloucester Green Car Park Waterproofing</t>
  </si>
  <si>
    <t>NEW Sunnymeade Park - Enhancement of Play Area Facilities</t>
  </si>
  <si>
    <t>Budget    2016/17</t>
  </si>
  <si>
    <t>NEW East Oxford Project</t>
  </si>
  <si>
    <t>NEW South Oxford Community Centre Café</t>
  </si>
  <si>
    <t>NEW St Ebbes Deaf and Hard of Hearing Centre</t>
  </si>
  <si>
    <t>NEW Jericho Community Centre</t>
  </si>
  <si>
    <t>CAPITAL BUDGET 2013-17</t>
  </si>
  <si>
    <t>2013-14</t>
  </si>
  <si>
    <t>2014-15</t>
  </si>
  <si>
    <t>2015-16</t>
  </si>
  <si>
    <t>2016-17</t>
  </si>
  <si>
    <t>2017-18</t>
  </si>
  <si>
    <t>General Fund Capital Programme</t>
  </si>
  <si>
    <t>NEW Woodfarm/Headington Community Centre Improvements</t>
  </si>
  <si>
    <t>NEW Donnington Recreation Ground Improvements</t>
  </si>
  <si>
    <t>NEW CCTV Gypsy Lane Campus</t>
  </si>
  <si>
    <t>NEW Headington Environmental Improvements</t>
  </si>
  <si>
    <t>NEW Rose Hill Recreation Ground Improvements</t>
  </si>
  <si>
    <t>NEW Work of Art Littlemore</t>
  </si>
  <si>
    <t>NEW West End Partnership</t>
  </si>
  <si>
    <t>NEW Work of Art Shotover View</t>
  </si>
  <si>
    <t>NEW Work of Art - Said Business School</t>
  </si>
  <si>
    <t>NEW Sunnymead Park - Enhancement of Play Area Facilities</t>
  </si>
  <si>
    <t>S11 City Development Total</t>
  </si>
  <si>
    <t>NEW Carbon Reduction</t>
  </si>
  <si>
    <t>S12 Environmental Development Total</t>
  </si>
  <si>
    <t>G3013 Diamond Place Car Park Footpath Extension</t>
  </si>
  <si>
    <t>G4006 Florence Park Community Centre Kitchen</t>
  </si>
  <si>
    <t>NEW Urban Broadband</t>
  </si>
  <si>
    <t>NEW CCTV Project</t>
  </si>
  <si>
    <t>NEW CCTV Rosehill Parade</t>
  </si>
  <si>
    <t>NEW Café South Oxford Community Centre</t>
  </si>
  <si>
    <t>S41 Community Development Team</t>
  </si>
  <si>
    <t>A4808 Blackbird Leys Leisure Centre Improvements</t>
  </si>
  <si>
    <t>A4814 Leisure Centre Substantive Repairs</t>
  </si>
  <si>
    <t>B0010 Covered Market - Signage Improvements</t>
  </si>
  <si>
    <t>B0028 Covered Market - New Roof Structures to High Street Entrances</t>
  </si>
  <si>
    <t>B0036 Investment - Covered Market</t>
  </si>
  <si>
    <t>B0045 Investment - St Michael's Street</t>
  </si>
  <si>
    <t>B0054 Town Hall Improvements</t>
  </si>
  <si>
    <t>B0063 Covered Market - Replacement Sprinkler System</t>
  </si>
  <si>
    <t>B0067 Fencing Repairs Across The City</t>
  </si>
  <si>
    <t>B0068 Town Hall -Conference System Refurbishment</t>
  </si>
  <si>
    <t>NEW Rose Hill Community Centre</t>
  </si>
  <si>
    <t>NEW 23-25 Broad Street</t>
  </si>
  <si>
    <t>NEW Clearing Channels Under Frideswide Bridge</t>
  </si>
  <si>
    <t>NEW R &amp; D Feasibility Fund</t>
  </si>
  <si>
    <t>NEW Stage 2 Museum of Oxford Development</t>
  </si>
  <si>
    <t>NEW Town Hall</t>
  </si>
  <si>
    <t>Repairs &amp; Maintenance Programme:</t>
  </si>
  <si>
    <t>B0069 Refurbishment of Council Buildings</t>
  </si>
  <si>
    <t>NEW Bury Knowle House</t>
  </si>
  <si>
    <t>NEW Community Centres</t>
  </si>
  <si>
    <t>NEW Cemeteries</t>
  </si>
  <si>
    <t>NEW Covered Market</t>
  </si>
  <si>
    <t>NEW Car Parks</t>
  </si>
  <si>
    <t>NEW Direct Services Depots</t>
  </si>
  <si>
    <t>NEW Investment Properties ~ Broad Street</t>
  </si>
  <si>
    <t>NEW Investment Properties ~ City Centre Misc.</t>
  </si>
  <si>
    <t>NEW Investment Properties ~ George Street</t>
  </si>
  <si>
    <t>NEW Investment Properties ~ Outer City</t>
  </si>
  <si>
    <t>NEW Investment Properties ~ Ship Street</t>
  </si>
  <si>
    <t>NEW Allotments</t>
  </si>
  <si>
    <t>NEW Street Sports Sites</t>
  </si>
  <si>
    <t>NEW Leisure &amp; Parks ~ Depots</t>
  </si>
  <si>
    <t>NEW Leisure &amp; Parks ~ Pavilions</t>
  </si>
  <si>
    <t>NEW Leisure &amp; Parks ~ Toilets</t>
  </si>
  <si>
    <t>NEW Miscellaneous Properties</t>
  </si>
  <si>
    <t>S14 Corporate Property Total</t>
  </si>
  <si>
    <t>NEW Templars Square Refurbishment/Relocation</t>
  </si>
  <si>
    <t>S21 Customer Services Total</t>
  </si>
  <si>
    <t>A4810 New Build Competition Pool</t>
  </si>
  <si>
    <t>A4821 Upgrade Multi-Use Games Area</t>
  </si>
  <si>
    <t>NEW Develop new burial space</t>
  </si>
  <si>
    <t>NEW Parks Works</t>
  </si>
  <si>
    <t>NEW Cowley Outdoor Gym</t>
  </si>
  <si>
    <t>NEW Valentia Road Playground</t>
  </si>
  <si>
    <t>NEW Pavilions Grey Water Harvesting</t>
  </si>
  <si>
    <t>NEW Horpath Athletics Ground</t>
  </si>
  <si>
    <t>NEW Three Artificial Turf Cricket Wickets</t>
  </si>
  <si>
    <t>NEW Oxford Spires Academy</t>
  </si>
  <si>
    <t>S22 Leisure &amp; Parks Total</t>
  </si>
  <si>
    <t>F0012 Park &amp; Ride Purchase of Capital Items - Peartree, Redbridge, Seacourt</t>
  </si>
  <si>
    <t>R0005 Vehicle &amp; Plant Replacement Programme</t>
  </si>
  <si>
    <t>NEW Car Parks Resurfacing</t>
  </si>
  <si>
    <t>NEW Gloucester Green Car Park Waterproofing</t>
  </si>
  <si>
    <t>S23 Direct Services Total</t>
  </si>
  <si>
    <t>NEW Mobile Working</t>
  </si>
  <si>
    <t>NEW System Integration Capability (Middleware)</t>
  </si>
  <si>
    <t>NEW Oracle 11g Upgrade</t>
  </si>
  <si>
    <t>NEW Server 2008 Upgrade for Idox</t>
  </si>
  <si>
    <t>NEW Source Code Management</t>
  </si>
  <si>
    <t>NEW Tree Management Software</t>
  </si>
  <si>
    <t>S03 Business Improvement &amp; Technology Total</t>
  </si>
  <si>
    <t>Total General Fund Schemes</t>
  </si>
  <si>
    <t>Housing Revenue Account Capital Programme</t>
  </si>
  <si>
    <t>N6384 Tower Blocks</t>
  </si>
  <si>
    <t>NEW Affordable Homes Programme</t>
  </si>
  <si>
    <t>NEW Horspath Depot</t>
  </si>
  <si>
    <t>NEW Homes at Barton</t>
  </si>
  <si>
    <t>NEW Estate Enhancements and Regeneration</t>
  </si>
  <si>
    <t>NEW Contribution to Rosehill</t>
  </si>
  <si>
    <t>Total Housing Revenue Account Schemes</t>
  </si>
  <si>
    <t>Total Capital Programme</t>
  </si>
  <si>
    <t>FINANCING</t>
  </si>
  <si>
    <t>New Bids Funding</t>
  </si>
  <si>
    <t>HRA Revenue re Rose Hill</t>
  </si>
  <si>
    <t>General Fund Revenue Contributions additional</t>
  </si>
  <si>
    <t>Government Grants</t>
  </si>
  <si>
    <t>Developer Contributions</t>
  </si>
  <si>
    <t>General Fund Capital Receipts - New  Rosehill</t>
  </si>
  <si>
    <t>Vehicles and plant- Prudential Borrowing</t>
  </si>
  <si>
    <t>Heritage Lottery fund for Town Hall</t>
  </si>
  <si>
    <t>Arts Council &amp; HLF</t>
  </si>
  <si>
    <t>Revenue</t>
  </si>
  <si>
    <t>HCA Grant</t>
  </si>
  <si>
    <t>TOTAL FINANCING</t>
  </si>
  <si>
    <t>NEW Parks &amp; Leisure Toilets</t>
  </si>
  <si>
    <t>NEW Contribution to Rose Hill</t>
  </si>
  <si>
    <t>Changed</t>
  </si>
  <si>
    <t>Prundetial Borrowing for Vehicles</t>
  </si>
  <si>
    <t>Matched to expenditure on vehicles</t>
  </si>
  <si>
    <t>Prudential borrowing</t>
  </si>
  <si>
    <t>Vehicles and plant- Pru Borrowing</t>
  </si>
  <si>
    <t>(Surplus)/ Deficit</t>
  </si>
  <si>
    <t xml:space="preserve"> Capital Budget 2013/14 to 2016/17</t>
  </si>
  <si>
    <t>Budget    2013/14</t>
  </si>
  <si>
    <t>2013/14 Budget as at 30/11/12</t>
  </si>
  <si>
    <t>Slippage since budget prepared</t>
  </si>
  <si>
    <t>Budget for 2013/14  New Bids &amp; Slippage</t>
  </si>
  <si>
    <t>Budget    2017/18</t>
  </si>
  <si>
    <t>Z3710</t>
  </si>
  <si>
    <t>Z3710 St Lukes Church Community Facilities</t>
  </si>
  <si>
    <t>G6012 South Oxford Community Centre Main Hall Replacement</t>
  </si>
  <si>
    <t>A4808 Blackbird Leys leisure centre Improvements</t>
  </si>
  <si>
    <t>Offic</t>
  </si>
  <si>
    <t>b0071</t>
  </si>
  <si>
    <t>Budge</t>
  </si>
  <si>
    <t>Budget Approved for Future Years - To  be allocated</t>
  </si>
  <si>
    <t>Refurbishment</t>
  </si>
  <si>
    <t>Refurbishment of Council Buildings</t>
  </si>
  <si>
    <t>Z3008 Contribution to Skate Park</t>
  </si>
  <si>
    <t>A4817</t>
  </si>
  <si>
    <t>A4817 Develop new burial space</t>
  </si>
  <si>
    <t>G6013 Cycle Oxford</t>
  </si>
  <si>
    <t>R0005 Motor Transport Vehicles/Plant Replacement Programme.</t>
  </si>
  <si>
    <t>ICT services</t>
  </si>
  <si>
    <t>NEW BIDS</t>
  </si>
  <si>
    <t>S106 Woodfarm/Headington Community Centre Improvements</t>
  </si>
  <si>
    <t>S106 Donnington Recreation Ground Improvements</t>
  </si>
  <si>
    <t>S106 CCTV Gipsy Lane Campus</t>
  </si>
  <si>
    <t>S106 Headington Environmental Improvements</t>
  </si>
  <si>
    <t>S106 Bridge Over Fiddlers Stream</t>
  </si>
  <si>
    <t>S106 Rose Hill Recreation Ground Improvements</t>
  </si>
  <si>
    <t>S106 Work of Art Littlemore</t>
  </si>
  <si>
    <t>S106 West End Contributions</t>
  </si>
  <si>
    <t>S106 Work of Art Shotover View</t>
  </si>
  <si>
    <t>S106 Sunnymead Park - Enhancement of Pay Area Facilities</t>
  </si>
  <si>
    <t>Plant and Motor Transport Replacement Programme</t>
  </si>
  <si>
    <t>S106 Work of Art Said Business School</t>
  </si>
  <si>
    <t>East Oxford Project</t>
  </si>
  <si>
    <t>Jericho Community Centre</t>
  </si>
  <si>
    <t>Property Repairs and Maintenance Programme</t>
  </si>
  <si>
    <t>Stage 2 of Museum of Oxford development (New)</t>
  </si>
  <si>
    <t>Pavilions Grey Water Harvesting</t>
  </si>
  <si>
    <t>System Integration Capability (Middleware)</t>
  </si>
  <si>
    <t>Tree Management Software</t>
  </si>
  <si>
    <t>Parks works</t>
  </si>
  <si>
    <t>Horspath Athletics Ground</t>
  </si>
  <si>
    <t>SQL Server 2008 Upgrade for Idox</t>
  </si>
  <si>
    <t>Templar Square Refurbishment/Relocation</t>
  </si>
  <si>
    <t>Three Artificial Turf Cricket Wickets</t>
  </si>
  <si>
    <t xml:space="preserve">Cowley Outdoor Gym </t>
  </si>
  <si>
    <t>Café South Poxfordshire Community Centre</t>
  </si>
  <si>
    <t>St Ebbs Deaf and Hard of Hearing Centre</t>
  </si>
  <si>
    <t>Clearing channels under Frideswide Bridget</t>
  </si>
  <si>
    <t>General Fund Total</t>
  </si>
  <si>
    <t>New Bids</t>
  </si>
  <si>
    <t>Slippage</t>
  </si>
  <si>
    <t>Original Budget</t>
  </si>
  <si>
    <t>New C</t>
  </si>
  <si>
    <t>New Contingency</t>
  </si>
  <si>
    <t>New F</t>
  </si>
  <si>
    <t>New Fees</t>
  </si>
  <si>
    <t>HCA</t>
  </si>
  <si>
    <t>Contribution to Rosehill</t>
  </si>
  <si>
    <t>New Additions</t>
  </si>
  <si>
    <t xml:space="preserve">Budget for 2013/14  </t>
  </si>
  <si>
    <t>Prudential Borrowing for Vehicles</t>
  </si>
  <si>
    <t>Source</t>
  </si>
  <si>
    <t>Row Labels</t>
  </si>
  <si>
    <t xml:space="preserve">Sum of Budget for 2013/14  </t>
  </si>
  <si>
    <t>Sum of Budget    2017/18</t>
  </si>
  <si>
    <t>Sum of Budget    2016/17</t>
  </si>
  <si>
    <t>Sum of Budget    2015/16</t>
  </si>
  <si>
    <t>Sum of Budget    2014/15</t>
  </si>
  <si>
    <t>CAPITAL RECEIPTS - GF RISK ADJUSTED</t>
  </si>
  <si>
    <t>CAPITAL RECEIPTS - RISK ADJUSTED</t>
  </si>
  <si>
    <t>2013/14 £000's</t>
  </si>
  <si>
    <t>2014/15 £000's</t>
  </si>
  <si>
    <t>2015/16 £000's</t>
  </si>
  <si>
    <t>2016/17 £000's</t>
  </si>
  <si>
    <t>Anticipated</t>
  </si>
  <si>
    <t>Balance B/F</t>
  </si>
  <si>
    <t>Used For Financing (Latest Estimate)</t>
  </si>
  <si>
    <t>St Clements Car Park - E258</t>
  </si>
  <si>
    <t>Northway Centre Site</t>
  </si>
  <si>
    <t>Brasenose Depot &amp; Farmhouse</t>
  </si>
  <si>
    <t>West Hill Farm</t>
  </si>
  <si>
    <t>Temple Cowley Pool</t>
  </si>
  <si>
    <t>Botley Cemetery Lodge</t>
  </si>
  <si>
    <t>Land at Oxford Science Park</t>
  </si>
  <si>
    <t>Diamond Place Car Park</t>
  </si>
  <si>
    <t>New Receipts</t>
  </si>
  <si>
    <t>Balance C/F</t>
  </si>
  <si>
    <t>Covered Market Emergency Lighting</t>
  </si>
  <si>
    <t>Slippage Identified Quarter 4 2012/13</t>
  </si>
  <si>
    <t>B0069 Corporate Property Major Works Programme</t>
  </si>
  <si>
    <t>Roof Repairs &amp; Ext Refurb - 44-46 George St</t>
  </si>
  <si>
    <t>Covered Market - Improvements &amp; Upgrade to Roof</t>
  </si>
  <si>
    <t>Bullingdon Community Centre - provision or enhance</t>
  </si>
  <si>
    <t>Lamarsh Road Landscaping</t>
  </si>
  <si>
    <t>NE Marston Croft Road Recreation Ground</t>
  </si>
  <si>
    <t>Agresso Budget</t>
  </si>
  <si>
    <t>Approved</t>
  </si>
  <si>
    <t>Profiled Budget</t>
  </si>
  <si>
    <t>Spend</t>
  </si>
  <si>
    <t>Variance to Profiled Budget</t>
  </si>
  <si>
    <t>% Spend Against Latest Budget</t>
  </si>
  <si>
    <t>Outturn Variance to Latest Budget</t>
  </si>
  <si>
    <t>Comments</t>
  </si>
  <si>
    <t xml:space="preserve"> Profiled Budget</t>
  </si>
  <si>
    <t>Received</t>
  </si>
  <si>
    <t>GRAND TOTAL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</si>
  <si>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</si>
  <si>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</si>
  <si>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</si>
  <si>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</si>
  <si>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</si>
  <si>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</si>
  <si>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</si>
  <si>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</si>
  <si>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</si>
  <si>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</si>
  <si>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</si>
  <si>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</si>
  <si>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Sum of months</t>
  </si>
  <si>
    <t>Work to be carried out not Capital</t>
  </si>
  <si>
    <t>Proposed works likely to exceed budget .Figures to be provided by Simon Howick. Town Hall budget to cover shortfall</t>
  </si>
  <si>
    <t xml:space="preserve">Phase 1 pavilion works are currently being undertaken by Direct Services. Major Project Approval for Grandpont Pavilion and remaining programme being sought at July CEB. </t>
  </si>
  <si>
    <t>Forecast slippage £900k. Budget needs to be re-profiled across future years to match anticipated expenditure of £100k 13-14,  £600k 14-15, and £300k 15-16</t>
  </si>
  <si>
    <t>Refunds for previous years issued grants have been received and offset any spend to date - plan is to spend to budget</t>
  </si>
  <si>
    <t>Payments to Bytes software have already been made. Total spend matches base budget without 12/13 slippage (£177k), no further spend expected</t>
  </si>
  <si>
    <t>To fund any further Windows 7 project costs and other IT projects (e.g. Intranet upgrade)</t>
  </si>
  <si>
    <t>Awaiting spend profiles from Cost centre manager</t>
  </si>
  <si>
    <t>Slippage due to Judicial review. Work expected to commence July/August. £250K is not an overspend but a virement requested form the Depot Relocation budget</t>
  </si>
  <si>
    <t>Spend to 30th June 2013</t>
  </si>
  <si>
    <t xml:space="preserve"> Capital Budget and Spend as at 30th June 2013</t>
  </si>
  <si>
    <t>Projected Outturn at 30th June 2013</t>
  </si>
  <si>
    <t>Latest Budget</t>
  </si>
  <si>
    <t>A4824</t>
  </si>
  <si>
    <t>Meadowe Lane Skate Park</t>
  </si>
  <si>
    <t>Cardinal House - Refurbishment</t>
  </si>
  <si>
    <t>P3 Profile</t>
  </si>
  <si>
    <t>P3 Spend</t>
  </si>
  <si>
    <t>B0069</t>
  </si>
  <si>
    <t>Corporate Property Major Works Programme</t>
  </si>
  <si>
    <t>CAPCE 13/14</t>
  </si>
  <si>
    <t>CAPCE 14/15</t>
  </si>
  <si>
    <t>Offices For the Future</t>
  </si>
  <si>
    <t>Outdoor works at Blackbird Leys Leisure Centre to take place following completion of new Pool in Q4 2014/15.</t>
  </si>
  <si>
    <t>Request to bring forward full project budget of £36k to 2013/14 to enable greater purchasing power. If wickets are purchased together possible to deliver 4 wickets rather than 3.</t>
  </si>
  <si>
    <t>Overspend to be funded from another Covered Market Budget</t>
  </si>
  <si>
    <t>Uncertainty over planned works at Barns Road Car Park to be completed in year</t>
  </si>
  <si>
    <t>Commitments of £12K for signage and £50K contribution to County Council. Further commitments are dependant on whether Project Management switches to Environmental Development Staff</t>
  </si>
  <si>
    <t>Q1 projection was to have spent most of the 12/13 slippage (£200k), however so far although commitments have been made, payments to contractors has been slower than expected. Head of Service is investigating why spend not occurred when planned.</t>
  </si>
  <si>
    <t>£230K committed to Project Management and Architects Fees</t>
  </si>
  <si>
    <t>B0060 Depot Relocation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</si>
</sst>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#,##0;\(#,##0\)"/>
    <numFmt numFmtId="166" formatCode="#,##0_ ;[Red]\-#,##0\ "/>
    <numFmt numFmtId="167" formatCode="#,##0;[Red]\(#,##0\)"/>
    <numFmt numFmtId="168" formatCode="#,##0;[Red]\ \(#,##0\)"/>
    <numFmt numFmtId="169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8"/>
      <name val="Arial"/>
      <family val="2"/>
    </font>
    <font>
      <sz val="9"/>
      <name val="Comic Sans MS"/>
      <family val="4"/>
    </font>
    <font>
      <sz val="12"/>
      <name val="Arial"/>
      <family val="2"/>
    </font>
    <font>
      <b/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56"/>
      <name val="Arial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66" fontId="11" fillId="0" borderId="0">
      <alignment vertical="top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9" fontId="7" fillId="33" borderId="0" xfId="63" applyFont="1" applyFill="1" applyBorder="1" applyAlignment="1">
      <alignment vertical="top"/>
    </xf>
    <xf numFmtId="0" fontId="2" fillId="0" borderId="0" xfId="60">
      <alignment/>
      <protection/>
    </xf>
    <xf numFmtId="0" fontId="3" fillId="0" borderId="0" xfId="60" applyFont="1" applyBorder="1" applyAlignment="1">
      <alignment horizontal="center" vertical="top" wrapText="1"/>
      <protection/>
    </xf>
    <xf numFmtId="164" fontId="3" fillId="34" borderId="10" xfId="46" applyNumberFormat="1" applyFont="1" applyFill="1" applyBorder="1" applyAlignment="1">
      <alignment horizontal="center" vertical="top" wrapText="1"/>
    </xf>
    <xf numFmtId="0" fontId="3" fillId="0" borderId="0" xfId="60" applyFont="1" applyFill="1" applyBorder="1" applyAlignment="1">
      <alignment horizontal="center" vertical="top" wrapText="1"/>
      <protection/>
    </xf>
    <xf numFmtId="0" fontId="2" fillId="0" borderId="0" xfId="60" applyFill="1" applyBorder="1" applyAlignment="1">
      <alignment vertical="top"/>
      <protection/>
    </xf>
    <xf numFmtId="0" fontId="2" fillId="0" borderId="0" xfId="60" applyFont="1" applyFill="1" applyBorder="1" applyAlignment="1">
      <alignment horizontal="left" vertical="top" wrapText="1"/>
      <protection/>
    </xf>
    <xf numFmtId="0" fontId="7" fillId="0" borderId="0" xfId="60" applyFont="1" applyBorder="1" applyAlignment="1">
      <alignment vertical="top"/>
      <protection/>
    </xf>
    <xf numFmtId="0" fontId="3" fillId="0" borderId="0" xfId="60" applyFont="1" applyFill="1" applyBorder="1" applyAlignment="1">
      <alignment vertical="top"/>
      <protection/>
    </xf>
    <xf numFmtId="0" fontId="2" fillId="0" borderId="0" xfId="60" applyFont="1" applyFill="1" applyBorder="1" applyAlignment="1">
      <alignment vertical="top"/>
      <protection/>
    </xf>
    <xf numFmtId="0" fontId="2" fillId="0" borderId="0" xfId="60" applyFont="1" applyFill="1" applyBorder="1" applyAlignment="1">
      <alignment vertical="top"/>
      <protection/>
    </xf>
    <xf numFmtId="0" fontId="8" fillId="0" borderId="0" xfId="60" applyFont="1" applyBorder="1" applyAlignment="1">
      <alignment vertical="top"/>
      <protection/>
    </xf>
    <xf numFmtId="38" fontId="8" fillId="0" borderId="0" xfId="60" applyNumberFormat="1" applyFont="1" applyFill="1" applyBorder="1" applyAlignment="1">
      <alignment vertical="top"/>
      <protection/>
    </xf>
    <xf numFmtId="38" fontId="9" fillId="0" borderId="0" xfId="60" applyNumberFormat="1" applyFont="1" applyFill="1" applyBorder="1" applyAlignment="1">
      <alignment vertical="top"/>
      <protection/>
    </xf>
    <xf numFmtId="164" fontId="3" fillId="35" borderId="10" xfId="46" applyNumberFormat="1" applyFont="1" applyFill="1" applyBorder="1" applyAlignment="1">
      <alignment horizontal="center" vertical="top" wrapText="1"/>
    </xf>
    <xf numFmtId="167" fontId="2" fillId="0" borderId="0" xfId="46" applyNumberFormat="1" applyFont="1" applyFill="1" applyBorder="1" applyAlignment="1">
      <alignment vertical="top"/>
    </xf>
    <xf numFmtId="167" fontId="7" fillId="33" borderId="0" xfId="46" applyNumberFormat="1" applyFont="1" applyFill="1" applyBorder="1" applyAlignment="1">
      <alignment vertical="top"/>
    </xf>
    <xf numFmtId="167" fontId="3" fillId="0" borderId="0" xfId="46" applyNumberFormat="1" applyFont="1" applyFill="1" applyBorder="1" applyAlignment="1">
      <alignment vertical="top"/>
    </xf>
    <xf numFmtId="0" fontId="2" fillId="0" borderId="11" xfId="60" applyBorder="1" applyAlignment="1">
      <alignment vertical="top"/>
      <protection/>
    </xf>
    <xf numFmtId="167" fontId="7" fillId="33" borderId="12" xfId="46" applyNumberFormat="1" applyFont="1" applyFill="1" applyBorder="1" applyAlignment="1">
      <alignment vertical="top"/>
    </xf>
    <xf numFmtId="167" fontId="2" fillId="0" borderId="0" xfId="46" applyNumberFormat="1" applyFill="1" applyBorder="1" applyAlignment="1">
      <alignment vertical="top"/>
    </xf>
    <xf numFmtId="167" fontId="2" fillId="0" borderId="0" xfId="46" applyNumberFormat="1" applyBorder="1" applyAlignment="1">
      <alignment vertical="top"/>
    </xf>
    <xf numFmtId="0" fontId="7" fillId="0" borderId="0" xfId="60" applyFont="1" applyFill="1" applyBorder="1" applyAlignment="1">
      <alignment vertical="top"/>
      <protection/>
    </xf>
    <xf numFmtId="0" fontId="7" fillId="33" borderId="11" xfId="60" applyFont="1" applyFill="1" applyBorder="1" applyAlignment="1">
      <alignment vertical="top"/>
      <protection/>
    </xf>
    <xf numFmtId="0" fontId="3" fillId="0" borderId="11" xfId="60" applyFont="1" applyBorder="1" applyAlignment="1">
      <alignment vertical="top"/>
      <protection/>
    </xf>
    <xf numFmtId="0" fontId="50" fillId="0" borderId="0" xfId="60" applyFont="1" applyBorder="1" applyAlignment="1">
      <alignment vertical="top"/>
      <protection/>
    </xf>
    <xf numFmtId="0" fontId="51" fillId="36" borderId="0" xfId="60" applyFont="1" applyFill="1" applyBorder="1" applyAlignment="1">
      <alignment vertical="top"/>
      <protection/>
    </xf>
    <xf numFmtId="164" fontId="51" fillId="36" borderId="0" xfId="46" applyNumberFormat="1" applyFont="1" applyFill="1" applyBorder="1" applyAlignment="1">
      <alignment vertical="top"/>
    </xf>
    <xf numFmtId="164" fontId="2" fillId="37" borderId="0" xfId="46" applyNumberFormat="1" applyFill="1" applyBorder="1" applyAlignment="1">
      <alignment vertical="top"/>
    </xf>
    <xf numFmtId="0" fontId="50" fillId="0" borderId="13" xfId="60" applyFont="1" applyBorder="1" applyAlignment="1">
      <alignment vertical="top"/>
      <protection/>
    </xf>
    <xf numFmtId="164" fontId="50" fillId="0" borderId="14" xfId="46" applyNumberFormat="1" applyFont="1" applyBorder="1" applyAlignment="1">
      <alignment vertical="top"/>
    </xf>
    <xf numFmtId="0" fontId="0" fillId="38" borderId="0" xfId="0" applyFill="1" applyAlignment="1">
      <alignment/>
    </xf>
    <xf numFmtId="164" fontId="7" fillId="0" borderId="0" xfId="46" applyNumberFormat="1" applyFont="1" applyFill="1" applyBorder="1" applyAlignment="1">
      <alignment horizontal="center" vertical="top" wrapText="1"/>
    </xf>
    <xf numFmtId="0" fontId="12" fillId="0" borderId="0" xfId="60" applyFont="1" applyAlignment="1">
      <alignment wrapText="1"/>
      <protection/>
    </xf>
    <xf numFmtId="0" fontId="4" fillId="0" borderId="0" xfId="60" applyFont="1" applyAlignment="1">
      <alignment wrapText="1"/>
      <protection/>
    </xf>
    <xf numFmtId="0" fontId="4" fillId="0" borderId="0" xfId="60" applyFont="1" applyFill="1" applyBorder="1" applyAlignment="1">
      <alignment horizontal="center" vertical="center" wrapText="1"/>
      <protection/>
    </xf>
    <xf numFmtId="0" fontId="4" fillId="0" borderId="0" xfId="60" applyFont="1" applyFill="1" applyBorder="1" applyAlignment="1">
      <alignment vertical="center" wrapText="1"/>
      <protection/>
    </xf>
    <xf numFmtId="0" fontId="12" fillId="0" borderId="0" xfId="60" applyFont="1" applyFill="1" applyBorder="1">
      <alignment/>
      <protection/>
    </xf>
    <xf numFmtId="165" fontId="12" fillId="0" borderId="0" xfId="60" applyNumberFormat="1" applyFont="1" applyFill="1" applyBorder="1" applyAlignment="1">
      <alignment wrapText="1"/>
      <protection/>
    </xf>
    <xf numFmtId="164" fontId="12" fillId="0" borderId="0" xfId="46" applyNumberFormat="1" applyFont="1" applyFill="1" applyBorder="1" applyAlignment="1">
      <alignment wrapText="1"/>
    </xf>
    <xf numFmtId="0" fontId="4" fillId="33" borderId="15" xfId="60" applyFont="1" applyFill="1" applyBorder="1" applyAlignment="1">
      <alignment wrapText="1"/>
      <protection/>
    </xf>
    <xf numFmtId="164" fontId="4" fillId="33" borderId="15" xfId="46" applyNumberFormat="1" applyFont="1" applyFill="1" applyBorder="1" applyAlignment="1">
      <alignment wrapText="1"/>
    </xf>
    <xf numFmtId="0" fontId="4" fillId="0" borderId="0" xfId="60" applyFont="1" applyFill="1" applyBorder="1" applyAlignment="1">
      <alignment wrapText="1"/>
      <protection/>
    </xf>
    <xf numFmtId="164" fontId="4" fillId="0" borderId="0" xfId="46" applyNumberFormat="1" applyFont="1" applyFill="1" applyBorder="1" applyAlignment="1">
      <alignment wrapText="1"/>
    </xf>
    <xf numFmtId="0" fontId="4" fillId="33" borderId="16" xfId="60" applyFont="1" applyFill="1" applyBorder="1" applyAlignment="1">
      <alignment wrapText="1"/>
      <protection/>
    </xf>
    <xf numFmtId="164" fontId="4" fillId="33" borderId="16" xfId="46" applyNumberFormat="1" applyFont="1" applyFill="1" applyBorder="1" applyAlignment="1">
      <alignment wrapText="1"/>
    </xf>
    <xf numFmtId="0" fontId="12" fillId="0" borderId="0" xfId="60" applyFont="1" applyFill="1" applyBorder="1" applyAlignment="1">
      <alignment wrapText="1"/>
      <protection/>
    </xf>
    <xf numFmtId="0" fontId="12" fillId="0" borderId="0" xfId="60" applyFont="1" applyBorder="1">
      <alignment/>
      <protection/>
    </xf>
    <xf numFmtId="164" fontId="12" fillId="0" borderId="0" xfId="46" applyNumberFormat="1" applyFont="1" applyFill="1" applyBorder="1" applyAlignment="1">
      <alignment horizontal="right" vertical="top"/>
    </xf>
    <xf numFmtId="0" fontId="4" fillId="33" borderId="16" xfId="60" applyFont="1" applyFill="1" applyBorder="1">
      <alignment/>
      <protection/>
    </xf>
    <xf numFmtId="164" fontId="4" fillId="0" borderId="0" xfId="46" applyNumberFormat="1" applyFont="1" applyFill="1" applyBorder="1" applyAlignment="1">
      <alignment horizontal="center" wrapText="1"/>
    </xf>
    <xf numFmtId="167" fontId="2" fillId="0" borderId="0" xfId="46" applyNumberFormat="1" applyFont="1" applyFill="1" applyBorder="1" applyAlignment="1">
      <alignment horizontal="right" vertical="top" wrapText="1"/>
    </xf>
    <xf numFmtId="164" fontId="12" fillId="0" borderId="0" xfId="46" applyNumberFormat="1" applyFont="1" applyAlignment="1">
      <alignment wrapText="1"/>
    </xf>
    <xf numFmtId="0" fontId="52" fillId="0" borderId="0" xfId="60" applyFont="1" applyFill="1" applyBorder="1" applyAlignment="1">
      <alignment horizontal="center" vertical="center" wrapText="1"/>
      <protection/>
    </xf>
    <xf numFmtId="164" fontId="53" fillId="0" borderId="0" xfId="46" applyNumberFormat="1" applyFont="1" applyFill="1" applyBorder="1" applyAlignment="1">
      <alignment wrapText="1"/>
    </xf>
    <xf numFmtId="164" fontId="52" fillId="33" borderId="15" xfId="46" applyNumberFormat="1" applyFont="1" applyFill="1" applyBorder="1" applyAlignment="1">
      <alignment wrapText="1"/>
    </xf>
    <xf numFmtId="165" fontId="53" fillId="0" borderId="0" xfId="60" applyNumberFormat="1" applyFont="1" applyFill="1" applyBorder="1" applyAlignment="1">
      <alignment wrapText="1"/>
      <protection/>
    </xf>
    <xf numFmtId="164" fontId="52" fillId="0" borderId="0" xfId="46" applyNumberFormat="1" applyFont="1" applyFill="1" applyBorder="1" applyAlignment="1">
      <alignment wrapText="1"/>
    </xf>
    <xf numFmtId="164" fontId="52" fillId="33" borderId="16" xfId="46" applyNumberFormat="1" applyFont="1" applyFill="1" applyBorder="1" applyAlignment="1">
      <alignment wrapText="1"/>
    </xf>
    <xf numFmtId="0" fontId="52" fillId="0" borderId="0" xfId="60" applyFont="1" applyFill="1" applyBorder="1" applyAlignment="1">
      <alignment wrapText="1"/>
      <protection/>
    </xf>
    <xf numFmtId="164" fontId="52" fillId="0" borderId="0" xfId="46" applyNumberFormat="1" applyFont="1" applyFill="1" applyBorder="1" applyAlignment="1">
      <alignment horizontal="center" wrapText="1"/>
    </xf>
    <xf numFmtId="0" fontId="53" fillId="0" borderId="0" xfId="60" applyFont="1" applyAlignment="1">
      <alignment wrapText="1"/>
      <protection/>
    </xf>
    <xf numFmtId="164" fontId="53" fillId="0" borderId="0" xfId="46" applyNumberFormat="1" applyFont="1" applyAlignment="1">
      <alignment wrapText="1"/>
    </xf>
    <xf numFmtId="164" fontId="53" fillId="0" borderId="0" xfId="46" applyNumberFormat="1" applyFont="1" applyFill="1" applyBorder="1" applyAlignment="1">
      <alignment horizontal="right" vertical="top"/>
    </xf>
    <xf numFmtId="164" fontId="12" fillId="0" borderId="0" xfId="46" applyNumberFormat="1" applyFont="1" applyFill="1" applyBorder="1" applyAlignment="1">
      <alignment/>
    </xf>
    <xf numFmtId="164" fontId="12" fillId="38" borderId="0" xfId="46" applyNumberFormat="1" applyFont="1" applyFill="1" applyBorder="1" applyAlignment="1">
      <alignment wrapText="1"/>
    </xf>
    <xf numFmtId="0" fontId="6" fillId="0" borderId="0" xfId="60" applyFont="1" applyBorder="1" applyAlignment="1">
      <alignment wrapText="1"/>
      <protection/>
    </xf>
    <xf numFmtId="0" fontId="2" fillId="0" borderId="0" xfId="60" applyFont="1" applyBorder="1" applyAlignment="1">
      <alignment vertical="top"/>
      <protection/>
    </xf>
    <xf numFmtId="0" fontId="4" fillId="0" borderId="0" xfId="60" applyFont="1" applyBorder="1" applyAlignment="1">
      <alignment horizontal="left" vertical="top"/>
      <protection/>
    </xf>
    <xf numFmtId="164" fontId="2" fillId="0" borderId="0" xfId="46" applyNumberFormat="1" applyFont="1" applyFill="1" applyBorder="1" applyAlignment="1">
      <alignment horizontal="center" vertical="top" wrapText="1"/>
    </xf>
    <xf numFmtId="0" fontId="7" fillId="34" borderId="10" xfId="60" applyFont="1" applyFill="1" applyBorder="1" applyAlignment="1">
      <alignment horizontal="center" vertical="top" wrapText="1"/>
      <protection/>
    </xf>
    <xf numFmtId="164" fontId="7" fillId="39" borderId="10" xfId="46" applyNumberFormat="1" applyFont="1" applyFill="1" applyBorder="1" applyAlignment="1">
      <alignment horizontal="center" vertical="top" wrapText="1"/>
    </xf>
    <xf numFmtId="164" fontId="7" fillId="40" borderId="10" xfId="46" applyNumberFormat="1" applyFont="1" applyFill="1" applyBorder="1" applyAlignment="1">
      <alignment horizontal="center" vertical="top" wrapText="1"/>
    </xf>
    <xf numFmtId="164" fontId="3" fillId="0" borderId="0" xfId="46" applyNumberFormat="1" applyFont="1" applyFill="1" applyBorder="1" applyAlignment="1">
      <alignment horizontal="center" vertical="top" wrapText="1"/>
    </xf>
    <xf numFmtId="164" fontId="3" fillId="41" borderId="0" xfId="46" applyNumberFormat="1" applyFont="1" applyFill="1" applyBorder="1" applyAlignment="1">
      <alignment horizontal="center" vertical="top" wrapText="1"/>
    </xf>
    <xf numFmtId="167" fontId="3" fillId="0" borderId="0" xfId="46" applyNumberFormat="1" applyFont="1" applyFill="1" applyBorder="1" applyAlignment="1">
      <alignment horizontal="right" vertical="top" wrapText="1"/>
    </xf>
    <xf numFmtId="167" fontId="2" fillId="41" borderId="0" xfId="46" applyNumberFormat="1" applyFont="1" applyFill="1" applyBorder="1" applyAlignment="1">
      <alignment horizontal="right" vertical="top"/>
    </xf>
    <xf numFmtId="167" fontId="2" fillId="0" borderId="0" xfId="46" applyNumberFormat="1" applyFont="1" applyFill="1" applyBorder="1" applyAlignment="1">
      <alignment vertical="top"/>
    </xf>
    <xf numFmtId="167" fontId="2" fillId="41" borderId="0" xfId="46" applyNumberFormat="1" applyFont="1" applyFill="1" applyBorder="1" applyAlignment="1">
      <alignment vertical="top"/>
    </xf>
    <xf numFmtId="0" fontId="8" fillId="0" borderId="0" xfId="60" applyFont="1" applyFill="1" applyBorder="1" applyAlignment="1">
      <alignment vertical="top"/>
      <protection/>
    </xf>
    <xf numFmtId="0" fontId="7" fillId="33" borderId="0" xfId="60" applyFont="1" applyFill="1" applyBorder="1" applyAlignment="1">
      <alignment horizontal="left" vertical="top"/>
      <protection/>
    </xf>
    <xf numFmtId="167" fontId="7" fillId="33" borderId="0" xfId="46" applyNumberFormat="1" applyFont="1" applyFill="1" applyBorder="1" applyAlignment="1">
      <alignment horizontal="right" vertical="top"/>
    </xf>
    <xf numFmtId="167" fontId="7" fillId="40" borderId="0" xfId="46" applyNumberFormat="1" applyFont="1" applyFill="1" applyBorder="1" applyAlignment="1">
      <alignment horizontal="right" vertical="top"/>
    </xf>
    <xf numFmtId="167" fontId="3" fillId="0" borderId="0" xfId="46" applyNumberFormat="1" applyFont="1" applyFill="1" applyBorder="1" applyAlignment="1">
      <alignment horizontal="right" vertical="top"/>
    </xf>
    <xf numFmtId="167" fontId="3" fillId="41" borderId="0" xfId="46" applyNumberFormat="1" applyFont="1" applyFill="1" applyBorder="1" applyAlignment="1">
      <alignment horizontal="right" vertical="top"/>
    </xf>
    <xf numFmtId="0" fontId="2" fillId="0" borderId="0" xfId="60" applyFont="1" applyFill="1" applyBorder="1" applyAlignment="1">
      <alignment horizontal="left" vertical="top"/>
      <protection/>
    </xf>
    <xf numFmtId="167" fontId="2" fillId="0" borderId="0" xfId="46" applyNumberFormat="1" applyFont="1" applyFill="1" applyBorder="1" applyAlignment="1">
      <alignment horizontal="right" vertical="top"/>
    </xf>
    <xf numFmtId="0" fontId="2" fillId="0" borderId="0" xfId="60" applyFont="1" applyFill="1">
      <alignment/>
      <protection/>
    </xf>
    <xf numFmtId="0" fontId="3" fillId="0" borderId="0" xfId="60" applyFont="1" applyFill="1" applyBorder="1" applyAlignment="1">
      <alignment horizontal="left" vertical="top"/>
      <protection/>
    </xf>
    <xf numFmtId="167" fontId="3" fillId="41" borderId="17" xfId="46" applyNumberFormat="1" applyFont="1" applyFill="1" applyBorder="1" applyAlignment="1">
      <alignment horizontal="right" vertical="top"/>
    </xf>
    <xf numFmtId="167" fontId="3" fillId="0" borderId="18" xfId="46" applyNumberFormat="1" applyFont="1" applyFill="1" applyBorder="1" applyAlignment="1">
      <alignment horizontal="right" vertical="top"/>
    </xf>
    <xf numFmtId="167" fontId="3" fillId="0" borderId="19" xfId="46" applyNumberFormat="1" applyFont="1" applyFill="1" applyBorder="1" applyAlignment="1">
      <alignment horizontal="right" vertical="top"/>
    </xf>
    <xf numFmtId="43" fontId="2" fillId="0" borderId="0" xfId="60" applyNumberFormat="1" applyFont="1" applyAlignment="1">
      <alignment horizontal="right"/>
      <protection/>
    </xf>
    <xf numFmtId="2" fontId="2" fillId="0" borderId="0" xfId="60" applyNumberFormat="1" applyFont="1" applyFill="1" applyBorder="1" applyAlignment="1">
      <alignment horizontal="left" vertical="top"/>
      <protection/>
    </xf>
    <xf numFmtId="0" fontId="7" fillId="0" borderId="0" xfId="60" applyFont="1" applyFill="1" applyBorder="1" applyAlignment="1">
      <alignment horizontal="left" vertical="top"/>
      <protection/>
    </xf>
    <xf numFmtId="0" fontId="2" fillId="0" borderId="0" xfId="60" applyFont="1" applyBorder="1" applyAlignment="1">
      <alignment horizontal="left" vertical="top"/>
      <protection/>
    </xf>
    <xf numFmtId="167" fontId="7" fillId="0" borderId="0" xfId="46" applyNumberFormat="1" applyFont="1" applyFill="1" applyBorder="1" applyAlignment="1">
      <alignment vertical="top"/>
    </xf>
    <xf numFmtId="167" fontId="7" fillId="41" borderId="0" xfId="46" applyNumberFormat="1" applyFont="1" applyFill="1" applyBorder="1" applyAlignment="1">
      <alignment horizontal="right" vertical="top"/>
    </xf>
    <xf numFmtId="167" fontId="7" fillId="41" borderId="15" xfId="46" applyNumberFormat="1" applyFont="1" applyFill="1" applyBorder="1" applyAlignment="1">
      <alignment horizontal="right" vertical="top"/>
    </xf>
    <xf numFmtId="167" fontId="7" fillId="0" borderId="0" xfId="46" applyNumberFormat="1" applyFont="1" applyFill="1" applyBorder="1" applyAlignment="1">
      <alignment horizontal="right" vertical="top"/>
    </xf>
    <xf numFmtId="43" fontId="3" fillId="0" borderId="0" xfId="60" applyNumberFormat="1" applyFont="1" applyFill="1" applyBorder="1" applyAlignment="1">
      <alignment vertical="top"/>
      <protection/>
    </xf>
    <xf numFmtId="0" fontId="7" fillId="33" borderId="0" xfId="60" applyFont="1" applyFill="1" applyBorder="1" applyAlignment="1">
      <alignment vertical="top"/>
      <protection/>
    </xf>
    <xf numFmtId="43" fontId="7" fillId="0" borderId="0" xfId="60" applyNumberFormat="1" applyFont="1" applyFill="1" applyBorder="1" applyAlignment="1">
      <alignment vertical="top"/>
      <protection/>
    </xf>
    <xf numFmtId="167" fontId="2" fillId="0" borderId="0" xfId="46" applyNumberFormat="1" applyFont="1" applyBorder="1" applyAlignment="1">
      <alignment horizontal="right" vertical="top"/>
    </xf>
    <xf numFmtId="0" fontId="7" fillId="0" borderId="0" xfId="60" applyFont="1" applyBorder="1" applyAlignment="1">
      <alignment horizontal="left" vertical="top"/>
      <protection/>
    </xf>
    <xf numFmtId="167" fontId="8" fillId="0" borderId="0" xfId="46" applyNumberFormat="1" applyFont="1" applyBorder="1" applyAlignment="1">
      <alignment horizontal="right" vertical="top"/>
    </xf>
    <xf numFmtId="0" fontId="2" fillId="38" borderId="0" xfId="60" applyFont="1" applyFill="1" applyBorder="1" applyAlignment="1">
      <alignment horizontal="left" vertical="top"/>
      <protection/>
    </xf>
    <xf numFmtId="167" fontId="2" fillId="38" borderId="0" xfId="46" applyNumberFormat="1" applyFont="1" applyFill="1" applyBorder="1" applyAlignment="1">
      <alignment horizontal="right" vertical="top"/>
    </xf>
    <xf numFmtId="167" fontId="2" fillId="42" borderId="0" xfId="46" applyNumberFormat="1" applyFont="1" applyFill="1" applyBorder="1" applyAlignment="1">
      <alignment horizontal="right" vertical="top"/>
    </xf>
    <xf numFmtId="167" fontId="8" fillId="0" borderId="0" xfId="46" applyNumberFormat="1" applyFont="1" applyFill="1" applyBorder="1" applyAlignment="1">
      <alignment horizontal="right" vertical="top"/>
    </xf>
    <xf numFmtId="0" fontId="3" fillId="0" borderId="0" xfId="60" applyFont="1" applyBorder="1" applyAlignment="1">
      <alignment vertical="top"/>
      <protection/>
    </xf>
    <xf numFmtId="164" fontId="2" fillId="0" borderId="0" xfId="46" applyNumberFormat="1" applyFont="1" applyBorder="1" applyAlignment="1">
      <alignment horizontal="right" vertical="top"/>
    </xf>
    <xf numFmtId="164" fontId="8" fillId="0" borderId="0" xfId="46" applyNumberFormat="1" applyFont="1" applyBorder="1" applyAlignment="1">
      <alignment horizontal="right" vertical="top"/>
    </xf>
    <xf numFmtId="164" fontId="2" fillId="0" borderId="0" xfId="46" applyNumberFormat="1" applyFont="1" applyBorder="1" applyAlignment="1">
      <alignment horizontal="right" vertical="top"/>
    </xf>
    <xf numFmtId="43" fontId="2" fillId="0" borderId="0" xfId="60" applyNumberFormat="1" applyBorder="1" applyAlignment="1">
      <alignment vertical="top"/>
      <protection/>
    </xf>
    <xf numFmtId="43" fontId="2" fillId="0" borderId="0" xfId="60" applyNumberFormat="1" applyFont="1" applyBorder="1" applyAlignment="1">
      <alignment horizontal="right"/>
      <protection/>
    </xf>
    <xf numFmtId="0" fontId="2" fillId="0" borderId="0" xfId="60" applyFont="1" applyBorder="1">
      <alignment/>
      <protection/>
    </xf>
    <xf numFmtId="43" fontId="2" fillId="0" borderId="0" xfId="60" applyNumberFormat="1" applyFont="1" applyFill="1" applyBorder="1" applyAlignment="1">
      <alignment horizontal="right"/>
      <protection/>
    </xf>
    <xf numFmtId="43" fontId="3" fillId="0" borderId="0" xfId="60" applyNumberFormat="1" applyFont="1" applyFill="1" applyBorder="1" applyAlignment="1">
      <alignment horizontal="right"/>
      <protection/>
    </xf>
    <xf numFmtId="43" fontId="2" fillId="0" borderId="0" xfId="60" applyNumberFormat="1" applyFill="1" applyBorder="1" applyAlignment="1">
      <alignment vertical="top"/>
      <protection/>
    </xf>
    <xf numFmtId="164" fontId="0" fillId="0" borderId="0" xfId="43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2" fillId="0" borderId="11" xfId="60" applyFont="1" applyBorder="1" applyAlignment="1">
      <alignment vertical="top"/>
      <protection/>
    </xf>
    <xf numFmtId="0" fontId="5" fillId="36" borderId="0" xfId="59" applyFont="1" applyFill="1" applyBorder="1" applyAlignment="1">
      <alignment horizontal="center" wrapText="1"/>
      <protection/>
    </xf>
    <xf numFmtId="0" fontId="10" fillId="36" borderId="20" xfId="59" applyFont="1" applyFill="1" applyBorder="1" applyAlignment="1">
      <alignment wrapText="1"/>
      <protection/>
    </xf>
    <xf numFmtId="0" fontId="7" fillId="36" borderId="21" xfId="59" applyFont="1" applyFill="1" applyBorder="1" applyAlignment="1">
      <alignment horizontal="center" wrapText="1"/>
      <protection/>
    </xf>
    <xf numFmtId="0" fontId="7" fillId="36" borderId="20" xfId="59" applyFont="1" applyFill="1" applyBorder="1" applyAlignment="1">
      <alignment horizontal="center" wrapText="1"/>
      <protection/>
    </xf>
    <xf numFmtId="0" fontId="10" fillId="36" borderId="22" xfId="59" applyFont="1" applyFill="1" applyBorder="1" applyAlignment="1">
      <alignment wrapText="1"/>
      <protection/>
    </xf>
    <xf numFmtId="0" fontId="10" fillId="36" borderId="22" xfId="59" applyFont="1" applyFill="1" applyBorder="1" applyAlignment="1">
      <alignment horizontal="center"/>
      <protection/>
    </xf>
    <xf numFmtId="0" fontId="10" fillId="36" borderId="23" xfId="59" applyFont="1" applyFill="1" applyBorder="1" applyAlignment="1">
      <alignment horizontal="center"/>
      <protection/>
    </xf>
    <xf numFmtId="0" fontId="8" fillId="36" borderId="24" xfId="59" applyFont="1" applyFill="1" applyBorder="1" applyAlignment="1">
      <alignment horizontal="left" wrapText="1" indent="1"/>
      <protection/>
    </xf>
    <xf numFmtId="0" fontId="8" fillId="36" borderId="0" xfId="59" applyFont="1" applyFill="1" applyBorder="1" applyAlignment="1">
      <alignment horizontal="right" indent="1"/>
      <protection/>
    </xf>
    <xf numFmtId="0" fontId="8" fillId="36" borderId="25" xfId="59" applyFont="1" applyFill="1" applyBorder="1" applyAlignment="1">
      <alignment horizontal="right" indent="1"/>
      <protection/>
    </xf>
    <xf numFmtId="0" fontId="8" fillId="36" borderId="24" xfId="59" applyFont="1" applyFill="1" applyBorder="1">
      <alignment/>
      <protection/>
    </xf>
    <xf numFmtId="0" fontId="7" fillId="36" borderId="26" xfId="59" applyFont="1" applyFill="1" applyBorder="1" applyAlignment="1">
      <alignment wrapText="1"/>
      <protection/>
    </xf>
    <xf numFmtId="168" fontId="7" fillId="36" borderId="27" xfId="59" applyNumberFormat="1" applyFont="1" applyFill="1" applyBorder="1">
      <alignment/>
      <protection/>
    </xf>
    <xf numFmtId="168" fontId="7" fillId="36" borderId="28" xfId="59" applyNumberFormat="1" applyFont="1" applyFill="1" applyBorder="1">
      <alignment/>
      <protection/>
    </xf>
    <xf numFmtId="0" fontId="5" fillId="36" borderId="24" xfId="59" applyFont="1" applyFill="1" applyBorder="1" applyAlignment="1">
      <alignment horizontal="center" wrapText="1"/>
      <protection/>
    </xf>
    <xf numFmtId="0" fontId="5" fillId="36" borderId="25" xfId="59" applyFont="1" applyFill="1" applyBorder="1" applyAlignment="1">
      <alignment horizontal="center" wrapText="1"/>
      <protection/>
    </xf>
    <xf numFmtId="168" fontId="8" fillId="37" borderId="0" xfId="59" applyNumberFormat="1" applyFont="1" applyFill="1" applyBorder="1" applyAlignment="1">
      <alignment horizontal="right"/>
      <protection/>
    </xf>
    <xf numFmtId="168" fontId="8" fillId="37" borderId="25" xfId="59" applyNumberFormat="1" applyFont="1" applyFill="1" applyBorder="1" applyAlignment="1">
      <alignment horizontal="right"/>
      <protection/>
    </xf>
    <xf numFmtId="3" fontId="8" fillId="37" borderId="0" xfId="59" applyNumberFormat="1" applyFont="1" applyFill="1" applyBorder="1" applyAlignment="1">
      <alignment horizontal="right"/>
      <protection/>
    </xf>
    <xf numFmtId="3" fontId="8" fillId="37" borderId="25" xfId="59" applyNumberFormat="1" applyFont="1" applyFill="1" applyBorder="1" applyAlignment="1">
      <alignment horizontal="right"/>
      <protection/>
    </xf>
    <xf numFmtId="168" fontId="7" fillId="37" borderId="0" xfId="59" applyNumberFormat="1" applyFont="1" applyFill="1" applyBorder="1" applyAlignment="1">
      <alignment horizontal="right"/>
      <protection/>
    </xf>
    <xf numFmtId="168" fontId="7" fillId="37" borderId="25" xfId="59" applyNumberFormat="1" applyFont="1" applyFill="1" applyBorder="1" applyAlignment="1">
      <alignment horizontal="right"/>
      <protection/>
    </xf>
    <xf numFmtId="0" fontId="7" fillId="36" borderId="24" xfId="59" applyFont="1" applyFill="1" applyBorder="1" applyAlignment="1">
      <alignment wrapText="1"/>
      <protection/>
    </xf>
    <xf numFmtId="0" fontId="8" fillId="36" borderId="24" xfId="59" applyFont="1" applyFill="1" applyBorder="1" applyAlignment="1">
      <alignment wrapText="1"/>
      <protection/>
    </xf>
    <xf numFmtId="168" fontId="13" fillId="36" borderId="0" xfId="59" applyNumberFormat="1" applyFont="1" applyFill="1" applyBorder="1" applyAlignment="1">
      <alignment horizontal="right"/>
      <protection/>
    </xf>
    <xf numFmtId="168" fontId="13" fillId="36" borderId="25" xfId="59" applyNumberFormat="1" applyFont="1" applyFill="1" applyBorder="1" applyAlignment="1">
      <alignment horizontal="right"/>
      <protection/>
    </xf>
    <xf numFmtId="0" fontId="34" fillId="0" borderId="0" xfId="0" applyFont="1" applyAlignment="1">
      <alignment/>
    </xf>
    <xf numFmtId="0" fontId="50" fillId="0" borderId="0" xfId="60" applyFont="1">
      <alignment/>
      <protection/>
    </xf>
    <xf numFmtId="164" fontId="2" fillId="37" borderId="29" xfId="46" applyNumberFormat="1" applyFill="1" applyBorder="1" applyAlignment="1">
      <alignment vertical="top"/>
    </xf>
    <xf numFmtId="164" fontId="2" fillId="37" borderId="30" xfId="46" applyNumberFormat="1" applyFill="1" applyBorder="1" applyAlignment="1">
      <alignment vertical="top"/>
    </xf>
    <xf numFmtId="164" fontId="2" fillId="37" borderId="12" xfId="46" applyNumberFormat="1" applyFill="1" applyBorder="1" applyAlignment="1">
      <alignment vertical="top"/>
    </xf>
    <xf numFmtId="164" fontId="7" fillId="0" borderId="12" xfId="46" applyNumberFormat="1" applyFont="1" applyFill="1" applyBorder="1" applyAlignment="1">
      <alignment horizontal="center" vertical="top" wrapText="1"/>
    </xf>
    <xf numFmtId="164" fontId="3" fillId="0" borderId="12" xfId="46" applyNumberFormat="1" applyFont="1" applyFill="1" applyBorder="1" applyAlignment="1">
      <alignment horizontal="center" vertical="top" wrapText="1"/>
    </xf>
    <xf numFmtId="167" fontId="2" fillId="0" borderId="12" xfId="46" applyNumberFormat="1" applyFill="1" applyBorder="1" applyAlignment="1">
      <alignment vertical="top"/>
    </xf>
    <xf numFmtId="167" fontId="3" fillId="0" borderId="12" xfId="46" applyNumberFormat="1" applyFont="1" applyFill="1" applyBorder="1" applyAlignment="1">
      <alignment vertical="top"/>
    </xf>
    <xf numFmtId="167" fontId="2" fillId="0" borderId="12" xfId="46" applyNumberFormat="1" applyFont="1" applyFill="1" applyBorder="1" applyAlignment="1">
      <alignment vertical="top"/>
    </xf>
    <xf numFmtId="167" fontId="7" fillId="0" borderId="12" xfId="46" applyNumberFormat="1" applyFont="1" applyFill="1" applyBorder="1" applyAlignment="1">
      <alignment vertical="top"/>
    </xf>
    <xf numFmtId="167" fontId="2" fillId="0" borderId="12" xfId="46" applyNumberFormat="1" applyBorder="1" applyAlignment="1">
      <alignment vertical="top"/>
    </xf>
    <xf numFmtId="167" fontId="2" fillId="0" borderId="12" xfId="46" applyNumberFormat="1" applyFont="1" applyFill="1" applyBorder="1" applyAlignment="1">
      <alignment horizontal="right" vertical="top" wrapText="1"/>
    </xf>
    <xf numFmtId="164" fontId="50" fillId="0" borderId="31" xfId="46" applyNumberFormat="1" applyFont="1" applyBorder="1" applyAlignment="1">
      <alignment vertical="top"/>
    </xf>
    <xf numFmtId="0" fontId="37" fillId="0" borderId="0" xfId="0" applyFont="1" applyAlignment="1">
      <alignment/>
    </xf>
    <xf numFmtId="168" fontId="7" fillId="0" borderId="0" xfId="59" applyNumberFormat="1" applyFont="1" applyFill="1" applyBorder="1" applyAlignment="1">
      <alignment horizontal="right"/>
      <protection/>
    </xf>
    <xf numFmtId="0" fontId="0" fillId="37" borderId="0" xfId="0" applyFill="1" applyAlignment="1">
      <alignment/>
    </xf>
    <xf numFmtId="43" fontId="0" fillId="37" borderId="0" xfId="43" applyFont="1" applyFill="1" applyAlignment="1">
      <alignment/>
    </xf>
    <xf numFmtId="43" fontId="48" fillId="37" borderId="0" xfId="43" applyFont="1" applyFill="1" applyAlignment="1">
      <alignment/>
    </xf>
    <xf numFmtId="0" fontId="0" fillId="2" borderId="0" xfId="0" applyFill="1" applyAlignment="1">
      <alignment/>
    </xf>
    <xf numFmtId="43" fontId="0" fillId="37" borderId="0" xfId="0" applyNumberFormat="1" applyFill="1" applyAlignment="1">
      <alignment/>
    </xf>
    <xf numFmtId="43" fontId="0" fillId="38" borderId="0" xfId="43" applyFont="1" applyFill="1" applyAlignment="1">
      <alignment/>
    </xf>
    <xf numFmtId="9" fontId="2" fillId="37" borderId="0" xfId="63" applyFont="1" applyFill="1" applyBorder="1" applyAlignment="1">
      <alignment vertical="top"/>
    </xf>
    <xf numFmtId="9" fontId="3" fillId="34" borderId="10" xfId="63" applyFont="1" applyFill="1" applyBorder="1" applyAlignment="1">
      <alignment horizontal="center" vertical="top" wrapText="1"/>
    </xf>
    <xf numFmtId="9" fontId="7" fillId="0" borderId="0" xfId="63" applyFont="1" applyFill="1" applyBorder="1" applyAlignment="1">
      <alignment horizontal="center" vertical="top" wrapText="1"/>
    </xf>
    <xf numFmtId="9" fontId="3" fillId="0" borderId="0" xfId="63" applyFont="1" applyFill="1" applyBorder="1" applyAlignment="1">
      <alignment horizontal="center" vertical="top" wrapText="1"/>
    </xf>
    <xf numFmtId="9" fontId="2" fillId="0" borderId="0" xfId="63" applyFont="1" applyFill="1" applyBorder="1" applyAlignment="1">
      <alignment vertical="top"/>
    </xf>
    <xf numFmtId="9" fontId="3" fillId="0" borderId="0" xfId="63" applyFont="1" applyFill="1" applyBorder="1" applyAlignment="1">
      <alignment vertical="top"/>
    </xf>
    <xf numFmtId="9" fontId="7" fillId="0" borderId="0" xfId="63" applyFont="1" applyFill="1" applyBorder="1" applyAlignment="1">
      <alignment vertical="top"/>
    </xf>
    <xf numFmtId="9" fontId="2" fillId="0" borderId="0" xfId="63" applyFont="1" applyBorder="1" applyAlignment="1">
      <alignment vertical="top"/>
    </xf>
    <xf numFmtId="9" fontId="50" fillId="0" borderId="14" xfId="63" applyFont="1" applyBorder="1" applyAlignment="1">
      <alignment vertical="top"/>
    </xf>
    <xf numFmtId="9" fontId="51" fillId="36" borderId="0" xfId="63" applyFont="1" applyFill="1" applyBorder="1" applyAlignment="1">
      <alignment vertical="top"/>
    </xf>
    <xf numFmtId="9" fontId="50" fillId="0" borderId="0" xfId="63" applyFont="1" applyAlignment="1">
      <alignment/>
    </xf>
    <xf numFmtId="9" fontId="0" fillId="0" borderId="0" xfId="63" applyFont="1" applyAlignment="1">
      <alignment/>
    </xf>
    <xf numFmtId="169" fontId="2" fillId="0" borderId="0" xfId="63" applyNumberFormat="1" applyFont="1" applyFill="1" applyBorder="1" applyAlignment="1">
      <alignment vertical="top"/>
    </xf>
    <xf numFmtId="168" fontId="8" fillId="2" borderId="0" xfId="59" applyNumberFormat="1" applyFont="1" applyFill="1" applyBorder="1" applyAlignment="1">
      <alignment horizontal="right"/>
      <protection/>
    </xf>
    <xf numFmtId="164" fontId="0" fillId="2" borderId="0" xfId="43" applyNumberFormat="1" applyFont="1" applyFill="1" applyAlignment="1">
      <alignment/>
    </xf>
    <xf numFmtId="0" fontId="0" fillId="0" borderId="0" xfId="0" applyFill="1" applyAlignment="1">
      <alignment/>
    </xf>
    <xf numFmtId="164" fontId="0" fillId="0" borderId="0" xfId="43" applyNumberFormat="1" applyFont="1" applyFill="1" applyAlignment="1">
      <alignment/>
    </xf>
    <xf numFmtId="0" fontId="0" fillId="13" borderId="0" xfId="0" applyFill="1" applyAlignment="1">
      <alignment/>
    </xf>
    <xf numFmtId="164" fontId="0" fillId="13" borderId="0" xfId="43" applyNumberFormat="1" applyFont="1" applyFill="1" applyAlignment="1">
      <alignment/>
    </xf>
    <xf numFmtId="164" fontId="7" fillId="0" borderId="0" xfId="46" applyNumberFormat="1" applyFont="1" applyFill="1" applyBorder="1" applyAlignment="1">
      <alignment horizontal="left" vertical="top" wrapText="1"/>
    </xf>
    <xf numFmtId="164" fontId="3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Fill="1" applyBorder="1" applyAlignment="1">
      <alignment horizontal="left" vertical="top" wrapText="1"/>
    </xf>
    <xf numFmtId="167" fontId="7" fillId="33" borderId="0" xfId="46" applyNumberFormat="1" applyFont="1" applyFill="1" applyBorder="1" applyAlignment="1">
      <alignment horizontal="left" vertical="top" wrapText="1"/>
    </xf>
    <xf numFmtId="167" fontId="3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Font="1" applyFill="1" applyBorder="1" applyAlignment="1">
      <alignment horizontal="left" vertical="top" wrapText="1"/>
    </xf>
    <xf numFmtId="167" fontId="7" fillId="0" borderId="0" xfId="46" applyNumberFormat="1" applyFont="1" applyFill="1" applyBorder="1" applyAlignment="1">
      <alignment horizontal="left" vertical="top" wrapText="1"/>
    </xf>
    <xf numFmtId="167" fontId="2" fillId="0" borderId="0" xfId="46" applyNumberFormat="1" applyBorder="1" applyAlignment="1">
      <alignment horizontal="left" vertical="top" wrapText="1"/>
    </xf>
    <xf numFmtId="164" fontId="50" fillId="0" borderId="14" xfId="46" applyNumberFormat="1" applyFont="1" applyBorder="1" applyAlignment="1">
      <alignment horizontal="left" vertical="top" wrapText="1"/>
    </xf>
    <xf numFmtId="0" fontId="48" fillId="37" borderId="0" xfId="0" applyFont="1" applyFill="1" applyAlignment="1">
      <alignment horizontal="center"/>
    </xf>
    <xf numFmtId="0" fontId="48" fillId="37" borderId="14" xfId="0" applyFont="1" applyFill="1" applyBorder="1" applyAlignment="1">
      <alignment horizontal="center"/>
    </xf>
    <xf numFmtId="164" fontId="48" fillId="0" borderId="0" xfId="43" applyNumberFormat="1" applyFont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Alignment="1">
      <alignment/>
    </xf>
    <xf numFmtId="164" fontId="0" fillId="37" borderId="0" xfId="43" applyNumberFormat="1" applyFont="1" applyFill="1" applyAlignment="1">
      <alignment/>
    </xf>
    <xf numFmtId="164" fontId="2" fillId="0" borderId="0" xfId="46" applyNumberFormat="1" applyFill="1" applyBorder="1" applyAlignment="1">
      <alignment vertical="top"/>
    </xf>
    <xf numFmtId="164" fontId="7" fillId="33" borderId="0" xfId="46" applyNumberFormat="1" applyFont="1" applyFill="1" applyBorder="1" applyAlignment="1">
      <alignment vertical="top"/>
    </xf>
    <xf numFmtId="164" fontId="3" fillId="0" borderId="0" xfId="46" applyNumberFormat="1" applyFont="1" applyFill="1" applyBorder="1" applyAlignment="1">
      <alignment vertical="top"/>
    </xf>
    <xf numFmtId="164" fontId="7" fillId="0" borderId="0" xfId="46" applyNumberFormat="1" applyFont="1" applyFill="1" applyBorder="1" applyAlignment="1">
      <alignment vertical="top"/>
    </xf>
    <xf numFmtId="164" fontId="2" fillId="0" borderId="0" xfId="46" applyNumberFormat="1" applyBorder="1" applyAlignment="1">
      <alignment vertical="top"/>
    </xf>
    <xf numFmtId="164" fontId="50" fillId="0" borderId="0" xfId="60" applyNumberFormat="1" applyFont="1">
      <alignment/>
      <protection/>
    </xf>
    <xf numFmtId="164" fontId="48" fillId="37" borderId="0" xfId="43" applyNumberFormat="1" applyFont="1" applyFill="1" applyAlignment="1">
      <alignment horizontal="center"/>
    </xf>
    <xf numFmtId="164" fontId="48" fillId="37" borderId="14" xfId="43" applyNumberFormat="1" applyFont="1" applyFill="1" applyBorder="1" applyAlignment="1">
      <alignment horizontal="center"/>
    </xf>
    <xf numFmtId="164" fontId="0" fillId="37" borderId="0" xfId="43" applyNumberFormat="1" applyFont="1" applyFill="1" applyAlignment="1">
      <alignment/>
    </xf>
    <xf numFmtId="164" fontId="48" fillId="37" borderId="0" xfId="43" applyNumberFormat="1" applyFont="1" applyFill="1" applyAlignment="1">
      <alignment/>
    </xf>
    <xf numFmtId="164" fontId="0" fillId="38" borderId="0" xfId="43" applyNumberFormat="1" applyFont="1" applyFill="1" applyAlignment="1">
      <alignment/>
    </xf>
    <xf numFmtId="43" fontId="0" fillId="0" borderId="0" xfId="43" applyNumberFormat="1" applyFont="1" applyAlignment="1">
      <alignment/>
    </xf>
    <xf numFmtId="43" fontId="0" fillId="0" borderId="0" xfId="43" applyNumberFormat="1" applyFont="1" applyAlignment="1">
      <alignment/>
    </xf>
    <xf numFmtId="43" fontId="0" fillId="13" borderId="0" xfId="43" applyNumberFormat="1" applyFont="1" applyFill="1" applyAlignment="1">
      <alignment/>
    </xf>
    <xf numFmtId="0" fontId="48" fillId="37" borderId="0" xfId="0" applyFont="1" applyFill="1" applyAlignment="1">
      <alignment/>
    </xf>
    <xf numFmtId="164" fontId="3" fillId="35" borderId="32" xfId="46" applyNumberFormat="1" applyFont="1" applyFill="1" applyBorder="1" applyAlignment="1">
      <alignment horizontal="center" vertical="top" wrapText="1"/>
    </xf>
    <xf numFmtId="0" fontId="6" fillId="37" borderId="33" xfId="60" applyFont="1" applyFill="1" applyBorder="1" applyAlignment="1">
      <alignment horizontal="left" vertical="top"/>
      <protection/>
    </xf>
    <xf numFmtId="164" fontId="2" fillId="37" borderId="21" xfId="46" applyNumberFormat="1" applyFill="1" applyBorder="1" applyAlignment="1">
      <alignment vertical="top"/>
    </xf>
    <xf numFmtId="9" fontId="2" fillId="37" borderId="21" xfId="63" applyFont="1" applyFill="1" applyBorder="1" applyAlignment="1">
      <alignment vertical="top"/>
    </xf>
    <xf numFmtId="164" fontId="2" fillId="37" borderId="34" xfId="46" applyNumberFormat="1" applyFill="1" applyBorder="1" applyAlignment="1">
      <alignment vertical="top"/>
    </xf>
    <xf numFmtId="0" fontId="2" fillId="37" borderId="24" xfId="60" applyFill="1" applyBorder="1" applyAlignment="1">
      <alignment vertical="top"/>
      <protection/>
    </xf>
    <xf numFmtId="164" fontId="2" fillId="37" borderId="25" xfId="46" applyNumberFormat="1" applyFill="1" applyBorder="1" applyAlignment="1">
      <alignment vertical="top"/>
    </xf>
    <xf numFmtId="0" fontId="3" fillId="34" borderId="35" xfId="60" applyFont="1" applyFill="1" applyBorder="1" applyAlignment="1">
      <alignment horizontal="center" vertical="top" wrapText="1"/>
      <protection/>
    </xf>
    <xf numFmtId="164" fontId="3" fillId="35" borderId="36" xfId="46" applyNumberFormat="1" applyFont="1" applyFill="1" applyBorder="1" applyAlignment="1">
      <alignment horizontal="center" vertical="top" wrapText="1"/>
    </xf>
    <xf numFmtId="0" fontId="3" fillId="0" borderId="24" xfId="60" applyFont="1" applyFill="1" applyBorder="1" applyAlignment="1">
      <alignment horizontal="center" vertical="top" wrapText="1"/>
      <protection/>
    </xf>
    <xf numFmtId="164" fontId="7" fillId="0" borderId="25" xfId="46" applyNumberFormat="1" applyFont="1" applyFill="1" applyBorder="1" applyAlignment="1">
      <alignment horizontal="center" vertical="top" wrapText="1"/>
    </xf>
    <xf numFmtId="164" fontId="3" fillId="0" borderId="25" xfId="46" applyNumberFormat="1" applyFont="1" applyFill="1" applyBorder="1" applyAlignment="1">
      <alignment horizontal="center" vertical="top" wrapText="1"/>
    </xf>
    <xf numFmtId="0" fontId="2" fillId="0" borderId="24" xfId="60" applyFont="1" applyFill="1" applyBorder="1" applyAlignment="1">
      <alignment vertical="top"/>
      <protection/>
    </xf>
    <xf numFmtId="167" fontId="2" fillId="0" borderId="25" xfId="46" applyNumberFormat="1" applyFill="1" applyBorder="1" applyAlignment="1">
      <alignment vertical="top"/>
    </xf>
    <xf numFmtId="0" fontId="2" fillId="0" borderId="24" xfId="60" applyFill="1" applyBorder="1" applyAlignment="1">
      <alignment vertical="top"/>
      <protection/>
    </xf>
    <xf numFmtId="0" fontId="7" fillId="33" borderId="24" xfId="60" applyFont="1" applyFill="1" applyBorder="1" applyAlignment="1">
      <alignment vertical="top"/>
      <protection/>
    </xf>
    <xf numFmtId="167" fontId="7" fillId="33" borderId="25" xfId="46" applyNumberFormat="1" applyFont="1" applyFill="1" applyBorder="1" applyAlignment="1">
      <alignment vertical="top"/>
    </xf>
    <xf numFmtId="0" fontId="2" fillId="0" borderId="24" xfId="60" applyFont="1" applyFill="1" applyBorder="1" applyAlignment="1">
      <alignment horizontal="left" vertical="top" wrapText="1"/>
      <protection/>
    </xf>
    <xf numFmtId="0" fontId="3" fillId="0" borderId="24" xfId="60" applyFont="1" applyFill="1" applyBorder="1" applyAlignment="1">
      <alignment vertical="top"/>
      <protection/>
    </xf>
    <xf numFmtId="167" fontId="3" fillId="0" borderId="25" xfId="46" applyNumberFormat="1" applyFont="1" applyFill="1" applyBorder="1" applyAlignment="1">
      <alignment vertical="top"/>
    </xf>
    <xf numFmtId="0" fontId="2" fillId="0" borderId="24" xfId="60" applyFill="1" applyBorder="1">
      <alignment/>
      <protection/>
    </xf>
    <xf numFmtId="0" fontId="2" fillId="0" borderId="24" xfId="60" applyFont="1" applyFill="1" applyBorder="1" applyAlignment="1">
      <alignment vertical="top"/>
      <protection/>
    </xf>
    <xf numFmtId="167" fontId="2" fillId="0" borderId="25" xfId="46" applyNumberFormat="1" applyFont="1" applyFill="1" applyBorder="1" applyAlignment="1">
      <alignment vertical="top"/>
    </xf>
    <xf numFmtId="167" fontId="2" fillId="0" borderId="24" xfId="60" applyNumberFormat="1" applyFont="1" applyFill="1" applyBorder="1" applyAlignment="1">
      <alignment vertical="top"/>
      <protection/>
    </xf>
    <xf numFmtId="0" fontId="7" fillId="0" borderId="24" xfId="60" applyFont="1" applyFill="1" applyBorder="1" applyAlignment="1">
      <alignment vertical="top"/>
      <protection/>
    </xf>
    <xf numFmtId="167" fontId="7" fillId="0" borderId="25" xfId="46" applyNumberFormat="1" applyFont="1" applyFill="1" applyBorder="1" applyAlignment="1">
      <alignment vertical="top"/>
    </xf>
    <xf numFmtId="0" fontId="2" fillId="0" borderId="37" xfId="60" applyBorder="1" applyAlignment="1">
      <alignment vertical="top"/>
      <protection/>
    </xf>
    <xf numFmtId="167" fontId="2" fillId="0" borderId="23" xfId="46" applyNumberFormat="1" applyBorder="1" applyAlignment="1">
      <alignment vertical="top"/>
    </xf>
    <xf numFmtId="164" fontId="2" fillId="0" borderId="23" xfId="46" applyNumberFormat="1" applyBorder="1" applyAlignment="1">
      <alignment vertical="top"/>
    </xf>
    <xf numFmtId="9" fontId="2" fillId="0" borderId="23" xfId="63" applyFont="1" applyBorder="1" applyAlignment="1">
      <alignment vertical="top"/>
    </xf>
    <xf numFmtId="167" fontId="2" fillId="0" borderId="38" xfId="46" applyNumberFormat="1" applyBorder="1" applyAlignment="1">
      <alignment vertical="top"/>
    </xf>
    <xf numFmtId="0" fontId="5" fillId="36" borderId="33" xfId="59" applyFont="1" applyFill="1" applyBorder="1" applyAlignment="1">
      <alignment horizontal="center" wrapText="1"/>
      <protection/>
    </xf>
    <xf numFmtId="0" fontId="5" fillId="36" borderId="21" xfId="59" applyFont="1" applyFill="1" applyBorder="1" applyAlignment="1">
      <alignment horizontal="center" wrapText="1"/>
      <protection/>
    </xf>
    <xf numFmtId="0" fontId="5" fillId="36" borderId="34" xfId="59" applyFont="1" applyFill="1" applyBorder="1" applyAlignment="1">
      <alignment horizontal="center" wrapText="1"/>
      <protection/>
    </xf>
    <xf numFmtId="0" fontId="6" fillId="0" borderId="0" xfId="60" applyFont="1" applyBorder="1" applyAlignment="1">
      <alignment horizontal="center" wrapText="1"/>
      <protection/>
    </xf>
    <xf numFmtId="0" fontId="3" fillId="0" borderId="0" xfId="60" applyFont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 Heading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3" xfId="46"/>
    <cellStyle name="Currency" xfId="47"/>
    <cellStyle name="Currency [0]" xfId="48"/>
    <cellStyle name="Currency 2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Title" xfId="67"/>
    <cellStyle name="Total" xfId="68"/>
    <cellStyle name="Warning Text" xfId="69"/>
  </cellStyles>
  <dxfs count="1">
    <dxf>
      <numFmt numFmtId="164" formatCode="_-* #,##0_-;\-* #,##0_-;_-* &quot;-&quot;??_-;_-@_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G16" sheet="Sheet5"/>
  </cacheSource>
  <cacheFields count="6">
    <cacheField name="Source">
      <sharedItems containsMixedTypes="0" count="11">
        <s v="Arts Council &amp; HLF"/>
        <s v="Capital Receipts"/>
        <s v="Developer Contributions"/>
        <s v="Direct Revenue Funding"/>
        <s v="General Fund Capital Receipts - New  Rosehill"/>
        <s v="General Fund Revenue Contributions additional"/>
        <s v="Government Funding"/>
        <s v="Government Grants"/>
        <s v="Heritage Lottery fund for Town Hall"/>
        <s v="Prudential Borrowing for Vehicles"/>
        <s v="Revenue Reserves"/>
      </sharedItems>
    </cacheField>
    <cacheField name="Budget for 2013/14  ">
      <sharedItems containsSemiMixedTypes="0" containsString="0" containsMixedTypes="0" containsNumber="1" containsInteger="1" count="13">
        <n v="250000"/>
        <n v="13580935"/>
        <n v="1428000"/>
        <n v="210000"/>
        <n v="855685"/>
        <n v="2965799"/>
        <n v="0"/>
        <n v="1733000"/>
        <n v="482587"/>
        <n v="100000"/>
        <n v="2207300"/>
        <n v="356000"/>
        <n v="177700"/>
      </sharedItems>
    </cacheField>
    <cacheField name="Budget    2014/15">
      <sharedItems containsMixedTypes="1" containsNumber="1" containsInteger="1"/>
    </cacheField>
    <cacheField name="Budget    2015/16">
      <sharedItems containsMixedTypes="1" containsNumber="1" containsInteger="1"/>
    </cacheField>
    <cacheField name="Budget    2016/17">
      <sharedItems containsMixedTypes="1" containsNumber="1" containsInteger="1"/>
    </cacheField>
    <cacheField name="Budget    2017/18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B27:G39" firstHeaderRow="0" firstDataRow="1" firstDataCol="1"/>
  <pivotFields count="6"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</pivotFields>
  <rowFields count="1">
    <field x="0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Budget for 2013/14  " fld="1" baseField="0" baseItem="0"/>
    <dataField name="Sum of Budget    2017/18" fld="5" baseField="0" baseItem="0"/>
    <dataField name="Sum of Budget    2016/17" fld="4" baseField="0" baseItem="0"/>
    <dataField name="Sum of Budget    2015/16" fld="3" baseField="0" baseItem="0"/>
    <dataField name="Sum of Budget    2014/15" fld="2" baseField="0" baseItem="0"/>
  </dataFields>
  <formats count="2">
    <format dxfId="0">
      <pivotArea outline="0" fieldPosition="0">
        <references count="2">
          <reference field="4294967294" count="4">
            <x v="1"/>
            <x v="2"/>
            <x v="3"/>
            <x v="4"/>
          </reference>
          <reference field="0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0">
      <pivotArea outline="0" fieldPosition="0" axis="axisRow" field="0" grandRow="1">
        <references count="1">
          <reference field="4294967294" count="4"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8"/>
  <sheetViews>
    <sheetView tabSelected="1" zoomScale="89" zoomScaleNormal="89" zoomScalePageLayoutView="0" workbookViewId="0" topLeftCell="B1">
      <pane xSplit="2" ySplit="3" topLeftCell="D4" activePane="bottomRight" state="frozen"/>
      <selection pane="topLeft" activeCell="B1" sqref="B1"/>
      <selection pane="topRight" activeCell="D1" sqref="D1"/>
      <selection pane="bottomLeft" activeCell="B4" sqref="B4"/>
      <selection pane="bottomRight" activeCell="B99" sqref="B99"/>
    </sheetView>
  </sheetViews>
  <sheetFormatPr defaultColWidth="9.140625" defaultRowHeight="15" outlineLevelRow="1" outlineLevelCol="1"/>
  <cols>
    <col min="1" max="1" width="22.57421875" style="0" hidden="1" customWidth="1"/>
    <col min="2" max="2" width="68.140625" style="0" bestFit="1" customWidth="1"/>
    <col min="3" max="4" width="15.7109375" style="0" customWidth="1" outlineLevel="1"/>
    <col min="5" max="5" width="15.7109375" style="0" customWidth="1"/>
    <col min="6" max="6" width="15.7109375" style="123" customWidth="1"/>
    <col min="7" max="9" width="15.7109375" style="0" customWidth="1"/>
    <col min="10" max="10" width="15.7109375" style="187" customWidth="1"/>
    <col min="11" max="14" width="15.7109375" style="0" customWidth="1"/>
    <col min="15" max="15" width="60.421875" style="0" hidden="1" customWidth="1"/>
    <col min="16" max="18" width="15.7109375" style="0" hidden="1" customWidth="1"/>
  </cols>
  <sheetData>
    <row r="1" spans="1:23" ht="18">
      <c r="A1" s="3"/>
      <c r="B1" s="226" t="s">
        <v>733</v>
      </c>
      <c r="C1" s="227"/>
      <c r="D1" s="227"/>
      <c r="E1" s="227"/>
      <c r="F1" s="227"/>
      <c r="G1" s="227"/>
      <c r="H1" s="227"/>
      <c r="I1" s="227"/>
      <c r="J1" s="228"/>
      <c r="K1" s="227"/>
      <c r="L1" s="227"/>
      <c r="M1" s="227"/>
      <c r="N1" s="229"/>
      <c r="O1" s="156"/>
      <c r="P1" s="156"/>
      <c r="Q1" s="156"/>
      <c r="R1" s="157"/>
      <c r="S1" s="3"/>
      <c r="T1" s="3"/>
      <c r="U1" s="3"/>
      <c r="V1" s="3"/>
      <c r="W1" s="3"/>
    </row>
    <row r="2" spans="1:23" ht="15">
      <c r="A2" s="3"/>
      <c r="B2" s="230"/>
      <c r="C2" s="30"/>
      <c r="D2" s="30"/>
      <c r="E2" s="30"/>
      <c r="F2" s="30"/>
      <c r="G2" s="30"/>
      <c r="H2" s="30"/>
      <c r="I2" s="30"/>
      <c r="J2" s="176"/>
      <c r="K2" s="30"/>
      <c r="L2" s="30"/>
      <c r="M2" s="30"/>
      <c r="N2" s="231"/>
      <c r="O2" s="30"/>
      <c r="P2" s="30"/>
      <c r="Q2" s="30"/>
      <c r="R2" s="158"/>
      <c r="S2" s="3"/>
      <c r="T2" s="3"/>
      <c r="U2" s="3"/>
      <c r="V2" s="3"/>
      <c r="W2" s="3"/>
    </row>
    <row r="3" spans="1:23" ht="63.75">
      <c r="A3" s="4"/>
      <c r="B3" s="232" t="s">
        <v>0</v>
      </c>
      <c r="C3" s="5" t="s">
        <v>285</v>
      </c>
      <c r="D3" s="5" t="s">
        <v>692</v>
      </c>
      <c r="E3" s="5" t="s">
        <v>284</v>
      </c>
      <c r="F3" s="5" t="s">
        <v>735</v>
      </c>
      <c r="G3" s="5" t="s">
        <v>732</v>
      </c>
      <c r="H3" s="5" t="s">
        <v>707</v>
      </c>
      <c r="I3" s="5" t="s">
        <v>703</v>
      </c>
      <c r="J3" s="177" t="s">
        <v>704</v>
      </c>
      <c r="K3" s="16" t="s">
        <v>734</v>
      </c>
      <c r="L3" s="16" t="s">
        <v>705</v>
      </c>
      <c r="M3" s="16" t="s">
        <v>3</v>
      </c>
      <c r="N3" s="233" t="s">
        <v>4</v>
      </c>
      <c r="O3" s="225" t="s">
        <v>706</v>
      </c>
      <c r="P3" s="5" t="s">
        <v>1</v>
      </c>
      <c r="Q3" s="5" t="s">
        <v>2</v>
      </c>
      <c r="R3" s="5" t="s">
        <v>477</v>
      </c>
      <c r="S3" s="4"/>
      <c r="T3" s="4"/>
      <c r="U3" s="4"/>
      <c r="V3" s="4"/>
      <c r="W3" s="4"/>
    </row>
    <row r="4" spans="1:23" ht="15">
      <c r="A4" s="6"/>
      <c r="B4" s="234"/>
      <c r="C4" s="34" t="s">
        <v>5</v>
      </c>
      <c r="D4" s="34"/>
      <c r="E4" s="34" t="s">
        <v>5</v>
      </c>
      <c r="F4" s="34" t="s">
        <v>5</v>
      </c>
      <c r="G4" s="34" t="s">
        <v>5</v>
      </c>
      <c r="H4" s="34"/>
      <c r="I4" s="34"/>
      <c r="J4" s="178"/>
      <c r="K4" s="34"/>
      <c r="L4" s="34"/>
      <c r="M4" s="34"/>
      <c r="N4" s="235"/>
      <c r="O4" s="195"/>
      <c r="P4" s="34" t="s">
        <v>5</v>
      </c>
      <c r="Q4" s="34" t="s">
        <v>5</v>
      </c>
      <c r="R4" s="159" t="s">
        <v>5</v>
      </c>
      <c r="S4" s="6"/>
      <c r="T4" s="6"/>
      <c r="U4" s="6"/>
      <c r="V4" s="6"/>
      <c r="W4" s="6"/>
    </row>
    <row r="5" spans="1:23" ht="15">
      <c r="A5" s="6"/>
      <c r="B5" s="234"/>
      <c r="C5" s="75"/>
      <c r="D5" s="75"/>
      <c r="E5" s="75"/>
      <c r="F5" s="75"/>
      <c r="G5" s="75"/>
      <c r="H5" s="75"/>
      <c r="I5" s="75"/>
      <c r="J5" s="179"/>
      <c r="K5" s="75"/>
      <c r="L5" s="75"/>
      <c r="M5" s="75"/>
      <c r="N5" s="236"/>
      <c r="O5" s="196"/>
      <c r="P5" s="75"/>
      <c r="Q5" s="75"/>
      <c r="R5" s="160"/>
      <c r="S5" s="6"/>
      <c r="T5" s="6"/>
      <c r="U5" s="6"/>
      <c r="V5" s="6"/>
      <c r="W5" s="6"/>
    </row>
    <row r="6" spans="1:18" ht="15">
      <c r="A6" s="11" t="s">
        <v>339</v>
      </c>
      <c r="B6" s="237" t="s">
        <v>442</v>
      </c>
      <c r="C6" s="22">
        <v>550000</v>
      </c>
      <c r="D6" s="22"/>
      <c r="E6" s="22">
        <v>550000</v>
      </c>
      <c r="F6" s="210">
        <v>550000</v>
      </c>
      <c r="G6" s="22">
        <f>IF(ISNA(VLOOKUP(A6,Agresso!$A$2:$G$118,7,FALSE)),0,(VLOOKUP(A6,Agresso!$A$2:$G$118,7,FALSE)))</f>
        <v>0</v>
      </c>
      <c r="H6" s="22">
        <f>VLOOKUP(A6,Profiles!$A:$F,6,FALSE)</f>
        <v>0</v>
      </c>
      <c r="I6" s="22">
        <f>G6-H6</f>
        <v>0</v>
      </c>
      <c r="J6" s="180">
        <f>G6/E6</f>
        <v>0</v>
      </c>
      <c r="K6" s="22">
        <v>550000</v>
      </c>
      <c r="L6" s="22">
        <f>K6-F6</f>
        <v>0</v>
      </c>
      <c r="M6" s="22"/>
      <c r="N6" s="238"/>
      <c r="O6" s="197"/>
      <c r="P6" s="22"/>
      <c r="Q6" s="22"/>
      <c r="R6" s="161"/>
    </row>
    <row r="7" spans="1:18" ht="15">
      <c r="A7" s="7" t="s">
        <v>393</v>
      </c>
      <c r="B7" s="239" t="s">
        <v>468</v>
      </c>
      <c r="C7" s="22">
        <v>325000</v>
      </c>
      <c r="D7" s="22"/>
      <c r="E7" s="22">
        <v>325000</v>
      </c>
      <c r="F7" s="210">
        <v>325000</v>
      </c>
      <c r="G7" s="22">
        <f>IF(ISNA(VLOOKUP(A7,Agresso!$A$2:$G$118,7,FALSE)),0,(VLOOKUP(A7,Agresso!$A$2:$G$118,7,FALSE)))</f>
        <v>0</v>
      </c>
      <c r="H7" s="22">
        <f>VLOOKUP(A7,Profiles!$A:$F,6,FALSE)</f>
        <v>0</v>
      </c>
      <c r="I7" s="22">
        <f>G7-H7</f>
        <v>0</v>
      </c>
      <c r="J7" s="180">
        <f>G7/E7</f>
        <v>0</v>
      </c>
      <c r="K7" s="22">
        <v>325000</v>
      </c>
      <c r="L7" s="22">
        <f>K7-F7</f>
        <v>0</v>
      </c>
      <c r="M7" s="22"/>
      <c r="N7" s="238"/>
      <c r="O7" s="197"/>
      <c r="P7" s="22"/>
      <c r="Q7" s="22"/>
      <c r="R7" s="161"/>
    </row>
    <row r="8" spans="1:23" ht="15">
      <c r="A8" s="6"/>
      <c r="B8" s="234"/>
      <c r="C8" s="75"/>
      <c r="D8" s="75"/>
      <c r="E8" s="75"/>
      <c r="F8" s="75"/>
      <c r="G8" s="75"/>
      <c r="H8" s="75"/>
      <c r="I8" s="75"/>
      <c r="J8" s="179"/>
      <c r="K8" s="75"/>
      <c r="L8" s="75"/>
      <c r="M8" s="75"/>
      <c r="N8" s="236"/>
      <c r="O8" s="196"/>
      <c r="P8" s="75"/>
      <c r="Q8" s="75"/>
      <c r="R8" s="160"/>
      <c r="S8" s="6"/>
      <c r="T8" s="6"/>
      <c r="U8" s="6"/>
      <c r="V8" s="6"/>
      <c r="W8" s="6"/>
    </row>
    <row r="9" spans="1:23" ht="15">
      <c r="A9" s="7"/>
      <c r="B9" s="240" t="s">
        <v>448</v>
      </c>
      <c r="C9" s="18">
        <f>SUM(C5:C7)</f>
        <v>875000</v>
      </c>
      <c r="D9" s="18">
        <v>0</v>
      </c>
      <c r="E9" s="18">
        <v>875000</v>
      </c>
      <c r="F9" s="211">
        <v>875000</v>
      </c>
      <c r="G9" s="18">
        <f>SUM(G5:G7)</f>
        <v>0</v>
      </c>
      <c r="H9" s="18">
        <f>SUM(H5:H7)</f>
        <v>0</v>
      </c>
      <c r="I9" s="18">
        <f>SUM(I5:I7)</f>
        <v>0</v>
      </c>
      <c r="J9" s="2">
        <f>G9/E9</f>
        <v>0</v>
      </c>
      <c r="K9" s="18">
        <f>SUM(K6:K7)</f>
        <v>875000</v>
      </c>
      <c r="L9" s="18">
        <f>SUM(L6:L7)</f>
        <v>0</v>
      </c>
      <c r="M9" s="18">
        <f>SUM(M6:M7)</f>
        <v>0</v>
      </c>
      <c r="N9" s="241">
        <f>SUM(N6:N7)</f>
        <v>0</v>
      </c>
      <c r="O9" s="198"/>
      <c r="P9" s="18">
        <f>SUM(P5:P7)</f>
        <v>0</v>
      </c>
      <c r="Q9" s="18">
        <f>SUM(Q5:Q7)</f>
        <v>0</v>
      </c>
      <c r="R9" s="21">
        <f>SUM(R5:R7)</f>
        <v>0</v>
      </c>
      <c r="S9" s="9"/>
      <c r="T9" s="9"/>
      <c r="U9" s="9"/>
      <c r="V9" s="9"/>
      <c r="W9" s="9"/>
    </row>
    <row r="10" spans="1:23" ht="15">
      <c r="A10" s="6"/>
      <c r="B10" s="234"/>
      <c r="C10" s="75"/>
      <c r="D10" s="75"/>
      <c r="E10" s="75"/>
      <c r="F10" s="75"/>
      <c r="G10" s="75"/>
      <c r="H10" s="75"/>
      <c r="I10" s="75"/>
      <c r="J10" s="179"/>
      <c r="K10" s="75"/>
      <c r="L10" s="75"/>
      <c r="M10" s="75"/>
      <c r="N10" s="236"/>
      <c r="O10" s="196"/>
      <c r="P10" s="75"/>
      <c r="Q10" s="75"/>
      <c r="R10" s="160"/>
      <c r="S10" s="6"/>
      <c r="T10" s="6"/>
      <c r="U10" s="6"/>
      <c r="V10" s="6"/>
      <c r="W10" s="6"/>
    </row>
    <row r="11" spans="1:23" ht="15" hidden="1" outlineLevel="1">
      <c r="A11" s="7" t="s">
        <v>6</v>
      </c>
      <c r="B11" s="242" t="s">
        <v>7</v>
      </c>
      <c r="C11" s="22">
        <v>259703</v>
      </c>
      <c r="D11" s="22">
        <v>-21686.690000000002</v>
      </c>
      <c r="E11" s="22">
        <v>238016.31</v>
      </c>
      <c r="F11" s="210">
        <v>238016</v>
      </c>
      <c r="G11" s="22">
        <f>IF(ISNA(VLOOKUP(A11,Agresso!$A$2:$G$118,7,FALSE)),0,(VLOOKUP(A11,Agresso!$A$2:$G$118,7,FALSE)))</f>
        <v>10190</v>
      </c>
      <c r="H11" s="22">
        <f>VLOOKUP(A11,Profiles!$A:$F,6,FALSE)</f>
        <v>10000</v>
      </c>
      <c r="I11" s="22">
        <f aca="true" t="shared" si="0" ref="I11:I23">G11-H11</f>
        <v>190</v>
      </c>
      <c r="J11" s="180">
        <f aca="true" t="shared" si="1" ref="J11:J23">G11/E11</f>
        <v>0.04281219215607535</v>
      </c>
      <c r="K11" s="22">
        <v>238016.31</v>
      </c>
      <c r="L11" s="22">
        <f aca="true" t="shared" si="2" ref="L11:L23">K11-F11</f>
        <v>0.3099999999976717</v>
      </c>
      <c r="M11" s="22"/>
      <c r="N11" s="238"/>
      <c r="O11" s="197"/>
      <c r="P11" s="22"/>
      <c r="Q11" s="22"/>
      <c r="R11" s="161"/>
      <c r="S11" s="8"/>
      <c r="T11" s="8"/>
      <c r="U11" s="8"/>
      <c r="V11" s="8"/>
      <c r="W11" s="8"/>
    </row>
    <row r="12" spans="1:23" ht="15" hidden="1" outlineLevel="1">
      <c r="A12" s="7" t="s">
        <v>8</v>
      </c>
      <c r="B12" s="242" t="s">
        <v>9</v>
      </c>
      <c r="C12" s="22"/>
      <c r="D12" s="22">
        <v>1536.9899999999998</v>
      </c>
      <c r="E12" s="22">
        <v>1536.9899999999998</v>
      </c>
      <c r="F12" s="210">
        <v>1537</v>
      </c>
      <c r="G12" s="22">
        <f>IF(ISNA(VLOOKUP(A12,Agresso!$A$2:$G$118,7,FALSE)),0,(VLOOKUP(A12,Agresso!$A$2:$G$118,7,FALSE)))</f>
        <v>0</v>
      </c>
      <c r="H12" s="22">
        <f>VLOOKUP(A12,Profiles!$A:$F,6,FALSE)</f>
        <v>0</v>
      </c>
      <c r="I12" s="22">
        <f t="shared" si="0"/>
        <v>0</v>
      </c>
      <c r="J12" s="180">
        <f t="shared" si="1"/>
        <v>0</v>
      </c>
      <c r="K12" s="22">
        <v>1536.9899999999998</v>
      </c>
      <c r="L12" s="22">
        <f t="shared" si="2"/>
        <v>-0.010000000000218279</v>
      </c>
      <c r="M12" s="22"/>
      <c r="N12" s="238"/>
      <c r="O12" s="197"/>
      <c r="P12" s="22"/>
      <c r="Q12" s="22"/>
      <c r="R12" s="161"/>
      <c r="S12" s="8"/>
      <c r="T12" s="8"/>
      <c r="U12" s="8"/>
      <c r="V12" s="8"/>
      <c r="W12" s="8"/>
    </row>
    <row r="13" spans="1:23" ht="15" hidden="1" outlineLevel="1">
      <c r="A13" s="7" t="s">
        <v>12</v>
      </c>
      <c r="B13" s="242" t="s">
        <v>13</v>
      </c>
      <c r="C13" s="22"/>
      <c r="D13" s="22">
        <v>14460.45</v>
      </c>
      <c r="E13" s="22">
        <v>14460.45</v>
      </c>
      <c r="F13" s="210">
        <v>14460</v>
      </c>
      <c r="G13" s="22">
        <f>IF(ISNA(VLOOKUP(A13,Agresso!$A$2:$G$118,7,FALSE)),0,(VLOOKUP(A13,Agresso!$A$2:$G$118,7,FALSE)))</f>
        <v>0</v>
      </c>
      <c r="H13" s="22">
        <f>VLOOKUP(A13,Profiles!$A:$F,6,FALSE)</f>
        <v>0</v>
      </c>
      <c r="I13" s="22">
        <f t="shared" si="0"/>
        <v>0</v>
      </c>
      <c r="J13" s="180">
        <f t="shared" si="1"/>
        <v>0</v>
      </c>
      <c r="K13" s="22">
        <v>14460.45</v>
      </c>
      <c r="L13" s="22">
        <f t="shared" si="2"/>
        <v>0.4500000000007276</v>
      </c>
      <c r="M13" s="22"/>
      <c r="N13" s="238"/>
      <c r="O13" s="197"/>
      <c r="P13" s="22"/>
      <c r="Q13" s="22"/>
      <c r="R13" s="161"/>
      <c r="S13" s="8"/>
      <c r="T13" s="8"/>
      <c r="U13" s="8"/>
      <c r="V13" s="8"/>
      <c r="W13" s="8"/>
    </row>
    <row r="14" spans="1:18" ht="38.25" hidden="1" outlineLevel="1">
      <c r="A14" s="7" t="s">
        <v>176</v>
      </c>
      <c r="B14" s="237" t="s">
        <v>177</v>
      </c>
      <c r="C14" s="22">
        <v>190000</v>
      </c>
      <c r="D14" s="22">
        <v>4503.4800000000105</v>
      </c>
      <c r="E14" s="22">
        <v>194503.48</v>
      </c>
      <c r="F14" s="210">
        <v>194503</v>
      </c>
      <c r="G14" s="22">
        <f>IF(ISNA(VLOOKUP(A14,Agresso!$A$2:$G$118,7,FALSE)),0,(VLOOKUP(A14,Agresso!$A$2:$G$118,7,FALSE)))</f>
        <v>7182</v>
      </c>
      <c r="H14" s="22">
        <f>VLOOKUP(A14,Profiles!$A:$F,6,FALSE)</f>
        <v>8000</v>
      </c>
      <c r="I14" s="22">
        <f t="shared" si="0"/>
        <v>-818</v>
      </c>
      <c r="J14" s="180">
        <f t="shared" si="1"/>
        <v>0.03692478921199764</v>
      </c>
      <c r="K14" s="22">
        <v>194503.48</v>
      </c>
      <c r="L14" s="22">
        <f t="shared" si="2"/>
        <v>0.4800000000104774</v>
      </c>
      <c r="M14" s="22"/>
      <c r="N14" s="238"/>
      <c r="O14" s="197" t="s">
        <v>750</v>
      </c>
      <c r="P14" s="22">
        <v>50000</v>
      </c>
      <c r="Q14" s="22">
        <v>50000</v>
      </c>
      <c r="R14" s="161"/>
    </row>
    <row r="15" spans="1:18" ht="15" hidden="1" outlineLevel="1">
      <c r="A15" s="7" t="s">
        <v>375</v>
      </c>
      <c r="B15" s="237" t="s">
        <v>456</v>
      </c>
      <c r="C15" s="22">
        <v>1560</v>
      </c>
      <c r="D15" s="22"/>
      <c r="E15" s="22">
        <v>1560</v>
      </c>
      <c r="F15" s="210">
        <v>1560</v>
      </c>
      <c r="G15" s="22">
        <f>IF(ISNA(VLOOKUP(A15,Agresso!$A$2:$G$118,7,FALSE)),0,(VLOOKUP(A15,Agresso!$A$2:$G$118,7,FALSE)))</f>
        <v>0</v>
      </c>
      <c r="H15" s="22">
        <f>VLOOKUP(A15,Profiles!$A:$F,6,FALSE)</f>
        <v>0</v>
      </c>
      <c r="I15" s="22">
        <f t="shared" si="0"/>
        <v>0</v>
      </c>
      <c r="J15" s="180">
        <f t="shared" si="1"/>
        <v>0</v>
      </c>
      <c r="K15" s="22">
        <v>1560</v>
      </c>
      <c r="L15" s="22">
        <f t="shared" si="2"/>
        <v>0</v>
      </c>
      <c r="M15" s="22"/>
      <c r="N15" s="238"/>
      <c r="O15" s="197"/>
      <c r="P15" s="22"/>
      <c r="Q15" s="22"/>
      <c r="R15" s="161"/>
    </row>
    <row r="16" spans="1:18" ht="15" hidden="1" outlineLevel="1">
      <c r="A16" s="7" t="s">
        <v>377</v>
      </c>
      <c r="B16" s="237" t="s">
        <v>457</v>
      </c>
      <c r="C16" s="22">
        <v>19887</v>
      </c>
      <c r="D16" s="22"/>
      <c r="E16" s="22">
        <v>19887</v>
      </c>
      <c r="F16" s="210">
        <v>19887</v>
      </c>
      <c r="G16" s="22">
        <f>IF(ISNA(VLOOKUP(A16,Agresso!$A$2:$G$118,7,FALSE)),0,(VLOOKUP(A16,Agresso!$A$2:$G$118,7,FALSE)))</f>
        <v>0</v>
      </c>
      <c r="H16" s="22">
        <f>VLOOKUP(A16,Profiles!$A:$F,6,FALSE)</f>
        <v>0</v>
      </c>
      <c r="I16" s="22">
        <f t="shared" si="0"/>
        <v>0</v>
      </c>
      <c r="J16" s="180">
        <f t="shared" si="1"/>
        <v>0</v>
      </c>
      <c r="K16" s="22">
        <v>19887</v>
      </c>
      <c r="L16" s="22">
        <f t="shared" si="2"/>
        <v>0</v>
      </c>
      <c r="M16" s="22"/>
      <c r="N16" s="238"/>
      <c r="O16" s="197"/>
      <c r="P16" s="22"/>
      <c r="Q16" s="22"/>
      <c r="R16" s="161"/>
    </row>
    <row r="17" spans="1:18" ht="15" hidden="1" outlineLevel="1">
      <c r="A17" s="7" t="s">
        <v>379</v>
      </c>
      <c r="B17" s="237" t="s">
        <v>458</v>
      </c>
      <c r="C17" s="22">
        <v>60000</v>
      </c>
      <c r="D17" s="22"/>
      <c r="E17" s="22">
        <v>60000</v>
      </c>
      <c r="F17" s="210">
        <v>60000</v>
      </c>
      <c r="G17" s="22">
        <f>IF(ISNA(VLOOKUP(A17,Agresso!$A$2:$G$118,7,FALSE)),0,(VLOOKUP(A17,Agresso!$A$2:$G$118,7,FALSE)))</f>
        <v>0</v>
      </c>
      <c r="H17" s="22">
        <f>VLOOKUP(A17,Profiles!$A:$F,6,FALSE)</f>
        <v>0</v>
      </c>
      <c r="I17" s="22">
        <f t="shared" si="0"/>
        <v>0</v>
      </c>
      <c r="J17" s="180">
        <f t="shared" si="1"/>
        <v>0</v>
      </c>
      <c r="K17" s="22">
        <v>60000</v>
      </c>
      <c r="L17" s="22">
        <f t="shared" si="2"/>
        <v>0</v>
      </c>
      <c r="M17" s="22"/>
      <c r="N17" s="238"/>
      <c r="O17" s="197"/>
      <c r="P17" s="22"/>
      <c r="Q17" s="22"/>
      <c r="R17" s="161"/>
    </row>
    <row r="18" spans="1:18" ht="15" hidden="1" outlineLevel="1">
      <c r="A18" s="7" t="s">
        <v>381</v>
      </c>
      <c r="B18" s="237" t="s">
        <v>459</v>
      </c>
      <c r="C18" s="22">
        <v>50000</v>
      </c>
      <c r="D18" s="22"/>
      <c r="E18" s="22">
        <v>50000</v>
      </c>
      <c r="F18" s="210">
        <v>50000</v>
      </c>
      <c r="G18" s="22">
        <f>IF(ISNA(VLOOKUP(A18,Agresso!$A$2:$G$118,7,FALSE)),0,(VLOOKUP(A18,Agresso!$A$2:$G$118,7,FALSE)))</f>
        <v>0</v>
      </c>
      <c r="H18" s="22">
        <f>VLOOKUP(A18,Profiles!$A:$F,6,FALSE)</f>
        <v>0</v>
      </c>
      <c r="I18" s="22">
        <f t="shared" si="0"/>
        <v>0</v>
      </c>
      <c r="J18" s="180">
        <f t="shared" si="1"/>
        <v>0</v>
      </c>
      <c r="K18" s="22">
        <v>50000</v>
      </c>
      <c r="L18" s="22">
        <f t="shared" si="2"/>
        <v>0</v>
      </c>
      <c r="M18" s="22"/>
      <c r="N18" s="238"/>
      <c r="O18" s="197"/>
      <c r="P18" s="22"/>
      <c r="Q18" s="22"/>
      <c r="R18" s="161"/>
    </row>
    <row r="19" spans="1:18" ht="15" hidden="1" outlineLevel="1">
      <c r="A19" s="7" t="s">
        <v>383</v>
      </c>
      <c r="B19" s="237" t="s">
        <v>460</v>
      </c>
      <c r="C19" s="22">
        <v>60000</v>
      </c>
      <c r="D19" s="22"/>
      <c r="E19" s="22">
        <v>60000</v>
      </c>
      <c r="F19" s="210">
        <v>60000</v>
      </c>
      <c r="G19" s="22">
        <f>IF(ISNA(VLOOKUP(A19,Agresso!$A$2:$G$118,7,FALSE)),0,(VLOOKUP(A19,Agresso!$A$2:$G$118,7,FALSE)))</f>
        <v>0</v>
      </c>
      <c r="H19" s="22">
        <f>VLOOKUP(A19,Profiles!$A:$F,6,FALSE)</f>
        <v>0</v>
      </c>
      <c r="I19" s="22">
        <f t="shared" si="0"/>
        <v>0</v>
      </c>
      <c r="J19" s="180">
        <f t="shared" si="1"/>
        <v>0</v>
      </c>
      <c r="K19" s="22">
        <v>60000</v>
      </c>
      <c r="L19" s="22">
        <f t="shared" si="2"/>
        <v>0</v>
      </c>
      <c r="M19" s="22"/>
      <c r="N19" s="238"/>
      <c r="O19" s="197"/>
      <c r="P19" s="22"/>
      <c r="Q19" s="22"/>
      <c r="R19" s="161"/>
    </row>
    <row r="20" spans="1:18" ht="15" hidden="1" outlineLevel="1">
      <c r="A20" s="7" t="s">
        <v>385</v>
      </c>
      <c r="B20" s="237" t="s">
        <v>461</v>
      </c>
      <c r="C20" s="22">
        <v>3300</v>
      </c>
      <c r="D20" s="22"/>
      <c r="E20" s="22">
        <v>3300</v>
      </c>
      <c r="F20" s="210">
        <v>0</v>
      </c>
      <c r="G20" s="22">
        <f>IF(ISNA(VLOOKUP(A20,Agresso!$A$2:$G$118,7,FALSE)),0,(VLOOKUP(A20,Agresso!$A$2:$G$118,7,FALSE)))</f>
        <v>0</v>
      </c>
      <c r="H20" s="22">
        <f>VLOOKUP(A20,Profiles!$A:$F,6,FALSE)</f>
        <v>0</v>
      </c>
      <c r="I20" s="22">
        <f t="shared" si="0"/>
        <v>0</v>
      </c>
      <c r="J20" s="180">
        <f t="shared" si="1"/>
        <v>0</v>
      </c>
      <c r="K20" s="22">
        <v>0</v>
      </c>
      <c r="L20" s="22">
        <f t="shared" si="2"/>
        <v>0</v>
      </c>
      <c r="M20" s="22">
        <f>L20</f>
        <v>0</v>
      </c>
      <c r="N20" s="238"/>
      <c r="O20" s="197"/>
      <c r="P20" s="22"/>
      <c r="Q20" s="22"/>
      <c r="R20" s="161"/>
    </row>
    <row r="21" spans="1:18" ht="15" hidden="1" outlineLevel="1">
      <c r="A21" s="7" t="s">
        <v>387</v>
      </c>
      <c r="B21" s="237" t="s">
        <v>462</v>
      </c>
      <c r="C21" s="22">
        <v>14635</v>
      </c>
      <c r="D21" s="22"/>
      <c r="E21" s="22">
        <v>14635</v>
      </c>
      <c r="F21" s="210">
        <v>14635</v>
      </c>
      <c r="G21" s="22">
        <f>IF(ISNA(VLOOKUP(A21,Agresso!$A$2:$G$118,7,FALSE)),0,(VLOOKUP(A21,Agresso!$A$2:$G$118,7,FALSE)))</f>
        <v>0</v>
      </c>
      <c r="H21" s="22">
        <f>VLOOKUP(A21,Profiles!$A:$F,6,FALSE)</f>
        <v>0</v>
      </c>
      <c r="I21" s="22">
        <f t="shared" si="0"/>
        <v>0</v>
      </c>
      <c r="J21" s="180">
        <f t="shared" si="1"/>
        <v>0</v>
      </c>
      <c r="K21" s="22">
        <v>14635</v>
      </c>
      <c r="L21" s="22">
        <f t="shared" si="2"/>
        <v>0</v>
      </c>
      <c r="M21" s="22"/>
      <c r="N21" s="238"/>
      <c r="O21" s="197"/>
      <c r="P21" s="22"/>
      <c r="Q21" s="22"/>
      <c r="R21" s="161"/>
    </row>
    <row r="22" spans="1:18" ht="15" hidden="1" outlineLevel="1">
      <c r="A22" s="7"/>
      <c r="B22" s="237" t="s">
        <v>476</v>
      </c>
      <c r="C22" s="22"/>
      <c r="D22" s="22"/>
      <c r="E22" s="22"/>
      <c r="F22" s="210"/>
      <c r="G22" s="22"/>
      <c r="H22" s="22"/>
      <c r="I22" s="22"/>
      <c r="J22" s="180"/>
      <c r="K22" s="22">
        <v>0</v>
      </c>
      <c r="L22" s="22">
        <f t="shared" si="2"/>
        <v>0</v>
      </c>
      <c r="M22" s="22"/>
      <c r="N22" s="238"/>
      <c r="O22" s="197"/>
      <c r="P22" s="22">
        <v>1830</v>
      </c>
      <c r="Q22" s="22"/>
      <c r="R22" s="161"/>
    </row>
    <row r="23" spans="1:23" ht="15" hidden="1" outlineLevel="1">
      <c r="A23" s="7" t="s">
        <v>16</v>
      </c>
      <c r="B23" s="242" t="s">
        <v>17</v>
      </c>
      <c r="C23" s="22">
        <v>217225</v>
      </c>
      <c r="D23" s="22"/>
      <c r="E23" s="22">
        <v>217225</v>
      </c>
      <c r="F23" s="210">
        <v>217225</v>
      </c>
      <c r="G23" s="22">
        <f>IF(ISNA(VLOOKUP(A23,Agresso!$A$2:$G$118,7,FALSE)),0,(VLOOKUP(A23,Agresso!$A$2:$G$118,7,FALSE)))</f>
        <v>0</v>
      </c>
      <c r="H23" s="22">
        <f>VLOOKUP(A23,Profiles!$A:$F,6,FALSE)</f>
        <v>0</v>
      </c>
      <c r="I23" s="22">
        <f t="shared" si="0"/>
        <v>0</v>
      </c>
      <c r="J23" s="180">
        <f t="shared" si="1"/>
        <v>0</v>
      </c>
      <c r="K23" s="22">
        <v>217225</v>
      </c>
      <c r="L23" s="22">
        <f t="shared" si="2"/>
        <v>0</v>
      </c>
      <c r="M23" s="22"/>
      <c r="N23" s="238"/>
      <c r="O23" s="197"/>
      <c r="P23" s="22"/>
      <c r="Q23" s="22"/>
      <c r="R23" s="161"/>
      <c r="S23" s="6"/>
      <c r="T23" s="6"/>
      <c r="U23" s="6"/>
      <c r="V23" s="6"/>
      <c r="W23" s="6"/>
    </row>
    <row r="24" spans="1:23" ht="15" hidden="1" outlineLevel="1">
      <c r="A24" s="7" t="s">
        <v>18</v>
      </c>
      <c r="B24" s="239"/>
      <c r="C24" s="22"/>
      <c r="D24" s="22"/>
      <c r="E24" s="22"/>
      <c r="F24" s="210"/>
      <c r="G24" s="22"/>
      <c r="H24" s="22"/>
      <c r="I24" s="22"/>
      <c r="J24" s="180"/>
      <c r="K24" s="22"/>
      <c r="L24" s="22"/>
      <c r="M24" s="22"/>
      <c r="N24" s="238"/>
      <c r="O24" s="197"/>
      <c r="P24" s="22"/>
      <c r="Q24" s="22"/>
      <c r="R24" s="161"/>
      <c r="S24" s="7"/>
      <c r="T24" s="7"/>
      <c r="U24" s="7"/>
      <c r="V24" s="7"/>
      <c r="W24" s="7"/>
    </row>
    <row r="25" spans="1:23" ht="15" collapsed="1">
      <c r="A25" s="7"/>
      <c r="B25" s="240" t="s">
        <v>20</v>
      </c>
      <c r="C25" s="18">
        <f>SUM(C11:C23)</f>
        <v>876310</v>
      </c>
      <c r="D25" s="18">
        <v>-1185.7699999999932</v>
      </c>
      <c r="E25" s="18">
        <f>SUM(E11:E23)</f>
        <v>875124.23</v>
      </c>
      <c r="F25" s="211">
        <f>SUM(F11:F23)</f>
        <v>871823</v>
      </c>
      <c r="G25" s="18">
        <f>SUM(G11:G23)</f>
        <v>17372</v>
      </c>
      <c r="H25" s="18">
        <f>SUM(H11:H23)</f>
        <v>18000</v>
      </c>
      <c r="I25" s="18">
        <f>SUM(I11:I23)</f>
        <v>-628</v>
      </c>
      <c r="J25" s="2">
        <f>G25/E25</f>
        <v>0.019850895912229514</v>
      </c>
      <c r="K25" s="18">
        <f>SUM(K11:K23)</f>
        <v>871824.23</v>
      </c>
      <c r="L25" s="18">
        <f>SUM(L11:L23)</f>
        <v>1.2300000000086584</v>
      </c>
      <c r="M25" s="18">
        <f>SUM(M11:M23)</f>
        <v>0</v>
      </c>
      <c r="N25" s="241">
        <f>SUM(N11:N23)</f>
        <v>0</v>
      </c>
      <c r="O25" s="198"/>
      <c r="P25" s="18">
        <f>SUM(P11:P23)</f>
        <v>51830</v>
      </c>
      <c r="Q25" s="18">
        <f>SUM(Q11:Q23)</f>
        <v>50000</v>
      </c>
      <c r="R25" s="21">
        <f>SUM(R11:R23)</f>
        <v>0</v>
      </c>
      <c r="S25" s="9"/>
      <c r="T25" s="9"/>
      <c r="U25" s="9"/>
      <c r="V25" s="9"/>
      <c r="W25" s="9"/>
    </row>
    <row r="26" spans="1:23" ht="15">
      <c r="A26" s="7" t="s">
        <v>18</v>
      </c>
      <c r="B26" s="243"/>
      <c r="C26" s="19"/>
      <c r="D26" s="19"/>
      <c r="E26" s="19"/>
      <c r="F26" s="212"/>
      <c r="G26" s="19"/>
      <c r="H26" s="19"/>
      <c r="I26" s="19"/>
      <c r="J26" s="181"/>
      <c r="K26" s="19"/>
      <c r="L26" s="19"/>
      <c r="M26" s="19"/>
      <c r="N26" s="244"/>
      <c r="O26" s="199"/>
      <c r="P26" s="19"/>
      <c r="Q26" s="19"/>
      <c r="R26" s="162"/>
      <c r="S26" s="10"/>
      <c r="T26" s="10"/>
      <c r="U26" s="10"/>
      <c r="V26" s="10"/>
      <c r="W26" s="10"/>
    </row>
    <row r="27" spans="1:23" ht="25.5" hidden="1" outlineLevel="1">
      <c r="A27" s="7" t="s">
        <v>21</v>
      </c>
      <c r="B27" s="239" t="s">
        <v>22</v>
      </c>
      <c r="C27" s="22">
        <v>50000</v>
      </c>
      <c r="D27" s="22">
        <v>-2980</v>
      </c>
      <c r="E27" s="22">
        <v>47020</v>
      </c>
      <c r="F27" s="210">
        <v>47020</v>
      </c>
      <c r="G27" s="22">
        <f>IF(ISNA(VLOOKUP(A27,Agresso!$A$2:$G$118,7,FALSE)),0,(VLOOKUP(A27,Agresso!$A$2:$G$118,7,FALSE)))</f>
        <v>-11897.02</v>
      </c>
      <c r="H27" s="22">
        <f>VLOOKUP(A27,Profiles!$A:$F,6,FALSE)</f>
        <v>10435</v>
      </c>
      <c r="I27" s="22">
        <f>G27-H27</f>
        <v>-22332.02</v>
      </c>
      <c r="J27" s="180">
        <f>G27/E27</f>
        <v>-0.2530204168438962</v>
      </c>
      <c r="K27" s="22">
        <v>47020</v>
      </c>
      <c r="L27" s="22">
        <f>K27-F27</f>
        <v>0</v>
      </c>
      <c r="M27" s="22"/>
      <c r="N27" s="238"/>
      <c r="O27" s="197" t="s">
        <v>727</v>
      </c>
      <c r="P27" s="22">
        <v>50000</v>
      </c>
      <c r="Q27" s="22">
        <v>50000</v>
      </c>
      <c r="R27" s="161">
        <v>50000</v>
      </c>
      <c r="S27" s="3"/>
      <c r="T27" s="3"/>
      <c r="U27" s="3"/>
      <c r="V27" s="3"/>
      <c r="W27" s="3"/>
    </row>
    <row r="28" spans="1:18" ht="51" hidden="1" outlineLevel="1">
      <c r="A28" s="7" t="s">
        <v>23</v>
      </c>
      <c r="B28" s="239" t="s">
        <v>24</v>
      </c>
      <c r="C28" s="22">
        <v>840000</v>
      </c>
      <c r="D28" s="22">
        <v>-23410</v>
      </c>
      <c r="E28" s="22">
        <v>816590</v>
      </c>
      <c r="F28" s="210">
        <v>816590</v>
      </c>
      <c r="G28" s="22">
        <f>IF(ISNA(VLOOKUP(A28,Agresso!$A$2:$G$118,7,FALSE)),0,(VLOOKUP(A28,Agresso!$A$2:$G$118,7,FALSE)))</f>
        <v>78600.94</v>
      </c>
      <c r="H28" s="22">
        <f>VLOOKUP(A28,Profiles!$A:$F,6,FALSE)</f>
        <v>225308</v>
      </c>
      <c r="I28" s="22">
        <f>G28-H28</f>
        <v>-146707.06</v>
      </c>
      <c r="J28" s="180">
        <f>G28/E28</f>
        <v>0.09625508517126098</v>
      </c>
      <c r="K28" s="22">
        <v>816590</v>
      </c>
      <c r="L28" s="22">
        <f>K28-F28</f>
        <v>0</v>
      </c>
      <c r="M28" s="22"/>
      <c r="N28" s="238"/>
      <c r="O28" s="197" t="s">
        <v>751</v>
      </c>
      <c r="P28" s="22">
        <v>640000</v>
      </c>
      <c r="Q28" s="22">
        <v>640000</v>
      </c>
      <c r="R28" s="161">
        <v>640000</v>
      </c>
    </row>
    <row r="29" spans="1:18" ht="15" hidden="1" outlineLevel="1">
      <c r="A29" s="7" t="s">
        <v>25</v>
      </c>
      <c r="B29" s="239" t="s">
        <v>26</v>
      </c>
      <c r="C29" s="22">
        <v>300000</v>
      </c>
      <c r="D29" s="22"/>
      <c r="E29" s="22">
        <v>300000</v>
      </c>
      <c r="F29" s="210">
        <v>0</v>
      </c>
      <c r="G29" s="22">
        <f>IF(ISNA(VLOOKUP(A29,Agresso!$A$2:$G$118,7,FALSE)),0,(VLOOKUP(A29,Agresso!$A$2:$G$118,7,FALSE)))</f>
        <v>0</v>
      </c>
      <c r="H29" s="22">
        <f>VLOOKUP(A29,Profiles!$A:$F,6,FALSE)</f>
        <v>0</v>
      </c>
      <c r="I29" s="22">
        <f>G29-H29</f>
        <v>0</v>
      </c>
      <c r="J29" s="180">
        <f>G29/E29</f>
        <v>0</v>
      </c>
      <c r="K29" s="22">
        <v>0</v>
      </c>
      <c r="L29" s="22">
        <f>K29-F29</f>
        <v>0</v>
      </c>
      <c r="M29" s="22"/>
      <c r="N29" s="238">
        <f>L29</f>
        <v>0</v>
      </c>
      <c r="O29" s="197" t="s">
        <v>723</v>
      </c>
      <c r="P29" s="22"/>
      <c r="Q29" s="22"/>
      <c r="R29" s="161"/>
    </row>
    <row r="30" spans="1:18" ht="15" hidden="1" outlineLevel="1">
      <c r="A30" s="7" t="s">
        <v>395</v>
      </c>
      <c r="B30" s="239" t="s">
        <v>469</v>
      </c>
      <c r="C30" s="22">
        <v>25000</v>
      </c>
      <c r="D30" s="22"/>
      <c r="E30" s="22">
        <v>25000</v>
      </c>
      <c r="F30" s="210">
        <v>25000</v>
      </c>
      <c r="G30" s="22">
        <f>IF(ISNA(VLOOKUP(A30,Agresso!$A$2:$G$118,7,FALSE)),0,(VLOOKUP(A30,Agresso!$A$2:$G$118,7,FALSE)))</f>
        <v>0</v>
      </c>
      <c r="H30" s="22">
        <f>VLOOKUP(A30,Profiles!$A:$F,6,FALSE)</f>
        <v>0</v>
      </c>
      <c r="I30" s="22">
        <f>G30-H30</f>
        <v>0</v>
      </c>
      <c r="J30" s="180">
        <f>G30/E30</f>
        <v>0</v>
      </c>
      <c r="K30" s="22">
        <v>25000</v>
      </c>
      <c r="L30" s="22">
        <f>K30-F30</f>
        <v>0</v>
      </c>
      <c r="M30" s="22"/>
      <c r="N30" s="238"/>
      <c r="O30" s="197"/>
      <c r="P30" s="22"/>
      <c r="Q30" s="22"/>
      <c r="R30" s="161"/>
    </row>
    <row r="31" spans="1:18" ht="15" hidden="1" outlineLevel="1">
      <c r="A31" s="7" t="s">
        <v>397</v>
      </c>
      <c r="B31" s="239" t="s">
        <v>470</v>
      </c>
      <c r="C31" s="22">
        <v>18000</v>
      </c>
      <c r="D31" s="22"/>
      <c r="E31" s="22">
        <v>18000</v>
      </c>
      <c r="F31" s="210">
        <v>18000</v>
      </c>
      <c r="G31" s="22">
        <f>IF(ISNA(VLOOKUP(A31,Agresso!$A$2:$G$118,7,FALSE)),0,(VLOOKUP(A31,Agresso!$A$2:$G$118,7,FALSE)))</f>
        <v>0</v>
      </c>
      <c r="H31" s="22">
        <f>VLOOKUP(A31,Profiles!$A:$F,6,FALSE)</f>
        <v>0</v>
      </c>
      <c r="I31" s="22">
        <f>G31-H31</f>
        <v>0</v>
      </c>
      <c r="J31" s="180">
        <f>G31/E31</f>
        <v>0</v>
      </c>
      <c r="K31" s="22">
        <v>18000</v>
      </c>
      <c r="L31" s="22">
        <f>K31-F31</f>
        <v>0</v>
      </c>
      <c r="M31" s="22"/>
      <c r="N31" s="238"/>
      <c r="O31" s="197"/>
      <c r="P31" s="22"/>
      <c r="Q31" s="22"/>
      <c r="R31" s="161"/>
    </row>
    <row r="32" spans="1:18" ht="15" hidden="1" outlineLevel="1">
      <c r="A32" s="7" t="s">
        <v>18</v>
      </c>
      <c r="B32" s="239"/>
      <c r="C32" s="22"/>
      <c r="D32" s="22"/>
      <c r="E32" s="22"/>
      <c r="F32" s="210"/>
      <c r="G32" s="22"/>
      <c r="H32" s="22"/>
      <c r="I32" s="22"/>
      <c r="J32" s="180"/>
      <c r="K32" s="22"/>
      <c r="L32" s="22"/>
      <c r="M32" s="22"/>
      <c r="N32" s="238"/>
      <c r="O32" s="197"/>
      <c r="P32" s="22"/>
      <c r="Q32" s="22"/>
      <c r="R32" s="161"/>
    </row>
    <row r="33" spans="1:18" ht="15" collapsed="1">
      <c r="A33" s="7"/>
      <c r="B33" s="240" t="s">
        <v>467</v>
      </c>
      <c r="C33" s="18">
        <f>SUM(C27:C31)</f>
        <v>1233000</v>
      </c>
      <c r="D33" s="18">
        <v>-26390</v>
      </c>
      <c r="E33" s="18">
        <f>SUM(E27:E31)</f>
        <v>1206610</v>
      </c>
      <c r="F33" s="211">
        <f>SUM(F27:F31)</f>
        <v>906610</v>
      </c>
      <c r="G33" s="18">
        <f>SUM(G27:G32)</f>
        <v>66703.92</v>
      </c>
      <c r="H33" s="18">
        <f>SUM(H27:H32)</f>
        <v>235743</v>
      </c>
      <c r="I33" s="18">
        <f>SUM(I27:I32)</f>
        <v>-169039.08</v>
      </c>
      <c r="J33" s="2">
        <f>G33/E33</f>
        <v>0.05528208783285403</v>
      </c>
      <c r="K33" s="18">
        <f>SUM(K27:K31)</f>
        <v>906610</v>
      </c>
      <c r="L33" s="18">
        <f>SUM(L27:L31)</f>
        <v>0</v>
      </c>
      <c r="M33" s="18">
        <f>SUM(M27:M31)</f>
        <v>0</v>
      </c>
      <c r="N33" s="241">
        <f>SUM(N27:N31)</f>
        <v>0</v>
      </c>
      <c r="O33" s="198"/>
      <c r="P33" s="18">
        <f>SUM(P27:P32)</f>
        <v>690000</v>
      </c>
      <c r="Q33" s="18">
        <f>SUM(Q27:Q32)</f>
        <v>690000</v>
      </c>
      <c r="R33" s="21">
        <f>SUM(R27:R32)</f>
        <v>690000</v>
      </c>
    </row>
    <row r="34" spans="1:18" ht="15">
      <c r="A34" s="7" t="s">
        <v>18</v>
      </c>
      <c r="B34" s="243"/>
      <c r="C34" s="19"/>
      <c r="D34" s="19"/>
      <c r="E34" s="19"/>
      <c r="F34" s="212"/>
      <c r="G34" s="19"/>
      <c r="H34" s="19"/>
      <c r="I34" s="19"/>
      <c r="J34" s="181"/>
      <c r="K34" s="19"/>
      <c r="L34" s="19"/>
      <c r="M34" s="19"/>
      <c r="N34" s="244"/>
      <c r="O34" s="199"/>
      <c r="P34" s="19"/>
      <c r="Q34" s="19"/>
      <c r="R34" s="162"/>
    </row>
    <row r="35" spans="1:18" ht="15" hidden="1" outlineLevel="1">
      <c r="A35" s="7" t="s">
        <v>29</v>
      </c>
      <c r="B35" s="245" t="s">
        <v>30</v>
      </c>
      <c r="C35" s="22">
        <v>19000</v>
      </c>
      <c r="D35" s="22"/>
      <c r="E35" s="22">
        <v>19000</v>
      </c>
      <c r="F35" s="210">
        <v>19000</v>
      </c>
      <c r="G35" s="22">
        <f>IF(ISNA(VLOOKUP(A35,Agresso!$A$2:$G$118,7,FALSE)),0,(VLOOKUP(A35,Agresso!$A$2:$G$118,7,FALSE)))</f>
        <v>0</v>
      </c>
      <c r="H35" s="22">
        <f>VLOOKUP(A35,Profiles!$A:$F,6,FALSE)</f>
        <v>0</v>
      </c>
      <c r="I35" s="22">
        <f>G35-H35</f>
        <v>0</v>
      </c>
      <c r="J35" s="180">
        <f>G35/E35</f>
        <v>0</v>
      </c>
      <c r="K35" s="22">
        <v>19000</v>
      </c>
      <c r="L35" s="22">
        <v>0</v>
      </c>
      <c r="M35" s="22"/>
      <c r="N35" s="238"/>
      <c r="O35" s="197"/>
      <c r="P35" s="22"/>
      <c r="Q35" s="22"/>
      <c r="R35" s="161"/>
    </row>
    <row r="36" spans="1:18" ht="15" hidden="1" outlineLevel="1">
      <c r="A36" s="7" t="s">
        <v>31</v>
      </c>
      <c r="B36" s="239" t="s">
        <v>32</v>
      </c>
      <c r="C36" s="22">
        <v>6324</v>
      </c>
      <c r="D36" s="22"/>
      <c r="E36" s="22">
        <v>6324</v>
      </c>
      <c r="F36" s="210">
        <v>6324</v>
      </c>
      <c r="G36" s="22">
        <f>IF(ISNA(VLOOKUP(A36,Agresso!$A$2:$G$118,7,FALSE)),0,(VLOOKUP(A36,Agresso!$A$2:$G$118,7,FALSE)))</f>
        <v>0</v>
      </c>
      <c r="H36" s="22">
        <f>VLOOKUP(A36,Profiles!$A:$F,6,FALSE)</f>
        <v>0</v>
      </c>
      <c r="I36" s="22">
        <f>G36-H36</f>
        <v>0</v>
      </c>
      <c r="J36" s="180">
        <f>G36/E36</f>
        <v>0</v>
      </c>
      <c r="K36" s="22">
        <v>6324</v>
      </c>
      <c r="L36" s="22">
        <v>0</v>
      </c>
      <c r="M36" s="22"/>
      <c r="N36" s="238"/>
      <c r="O36" s="197"/>
      <c r="P36" s="22"/>
      <c r="Q36" s="22"/>
      <c r="R36" s="161"/>
    </row>
    <row r="37" spans="1:18" ht="15" hidden="1" outlineLevel="1">
      <c r="A37" s="7" t="s">
        <v>33</v>
      </c>
      <c r="B37" s="239" t="s">
        <v>34</v>
      </c>
      <c r="C37" s="22">
        <v>2550</v>
      </c>
      <c r="D37" s="22"/>
      <c r="E37" s="22">
        <v>2550</v>
      </c>
      <c r="F37" s="210">
        <v>2550</v>
      </c>
      <c r="G37" s="22">
        <f>IF(ISNA(VLOOKUP(A37,Agresso!$A$2:$G$118,7,FALSE)),0,(VLOOKUP(A37,Agresso!$A$2:$G$118,7,FALSE)))</f>
        <v>0</v>
      </c>
      <c r="H37" s="22">
        <f>VLOOKUP(A37,Profiles!$A:$F,6,FALSE)</f>
        <v>0</v>
      </c>
      <c r="I37" s="22">
        <f>G37-H37</f>
        <v>0</v>
      </c>
      <c r="J37" s="180">
        <f>G37/E37</f>
        <v>0</v>
      </c>
      <c r="K37" s="22">
        <v>2550</v>
      </c>
      <c r="L37" s="22">
        <v>0</v>
      </c>
      <c r="M37" s="22"/>
      <c r="N37" s="238"/>
      <c r="O37" s="197"/>
      <c r="P37" s="22"/>
      <c r="Q37" s="22"/>
      <c r="R37" s="161"/>
    </row>
    <row r="38" spans="1:18" ht="15" hidden="1" outlineLevel="1">
      <c r="A38" s="7" t="s">
        <v>35</v>
      </c>
      <c r="B38" s="239" t="s">
        <v>503</v>
      </c>
      <c r="C38" s="22">
        <v>1411</v>
      </c>
      <c r="D38" s="22"/>
      <c r="E38" s="22">
        <v>1411</v>
      </c>
      <c r="F38" s="210">
        <v>1411</v>
      </c>
      <c r="G38" s="22">
        <f>IF(ISNA(VLOOKUP(A38,Agresso!$A$2:$G$118,7,FALSE)),0,(VLOOKUP(A38,Agresso!$A$2:$G$118,7,FALSE)))</f>
        <v>0</v>
      </c>
      <c r="H38" s="22">
        <f>VLOOKUP(A38,Profiles!$A:$F,6,FALSE)</f>
        <v>0</v>
      </c>
      <c r="I38" s="22">
        <f>G38-H38</f>
        <v>0</v>
      </c>
      <c r="J38" s="180">
        <f>G38/E38</f>
        <v>0</v>
      </c>
      <c r="K38" s="22">
        <v>1411</v>
      </c>
      <c r="L38" s="22">
        <v>0</v>
      </c>
      <c r="M38" s="22"/>
      <c r="N38" s="238"/>
      <c r="O38" s="197"/>
      <c r="P38" s="22"/>
      <c r="Q38" s="22"/>
      <c r="R38" s="161"/>
    </row>
    <row r="39" spans="1:18" ht="15" hidden="1" outlineLevel="1">
      <c r="A39" s="7" t="s">
        <v>42</v>
      </c>
      <c r="B39" s="245" t="s">
        <v>43</v>
      </c>
      <c r="C39" s="22"/>
      <c r="D39" s="22">
        <v>19300</v>
      </c>
      <c r="E39" s="22">
        <v>19300</v>
      </c>
      <c r="F39" s="210">
        <v>19300</v>
      </c>
      <c r="G39" s="22">
        <f>IF(ISNA(VLOOKUP(A39,Agresso!$A$2:$G$118,7,FALSE)),0,(VLOOKUP(A39,Agresso!$A$2:$G$118,7,FALSE)))</f>
        <v>0</v>
      </c>
      <c r="H39" s="22">
        <f>VLOOKUP(A39,Profiles!$A:$F,6,FALSE)</f>
        <v>0</v>
      </c>
      <c r="I39" s="22">
        <f>G39-H39</f>
        <v>0</v>
      </c>
      <c r="J39" s="180">
        <f>G39/E39</f>
        <v>0</v>
      </c>
      <c r="K39" s="22">
        <v>19300</v>
      </c>
      <c r="L39" s="22">
        <v>0</v>
      </c>
      <c r="M39" s="22"/>
      <c r="N39" s="238"/>
      <c r="O39" s="197"/>
      <c r="P39" s="22"/>
      <c r="Q39" s="22"/>
      <c r="R39" s="161"/>
    </row>
    <row r="40" spans="1:18" ht="15" hidden="1" outlineLevel="1">
      <c r="A40" s="7"/>
      <c r="B40" s="237" t="s">
        <v>479</v>
      </c>
      <c r="C40" s="22"/>
      <c r="D40" s="22"/>
      <c r="E40" s="22"/>
      <c r="F40" s="210"/>
      <c r="G40" s="22"/>
      <c r="H40" s="22"/>
      <c r="I40" s="22"/>
      <c r="J40" s="180"/>
      <c r="K40" s="22"/>
      <c r="L40" s="22"/>
      <c r="M40" s="22"/>
      <c r="N40" s="238"/>
      <c r="O40" s="197"/>
      <c r="P40" s="22">
        <v>50000</v>
      </c>
      <c r="Q40" s="22"/>
      <c r="R40" s="161"/>
    </row>
    <row r="41" spans="1:18" ht="15" hidden="1" outlineLevel="1">
      <c r="A41" s="7"/>
      <c r="B41" s="237" t="s">
        <v>480</v>
      </c>
      <c r="C41" s="22"/>
      <c r="D41" s="22"/>
      <c r="E41" s="22"/>
      <c r="F41" s="210"/>
      <c r="G41" s="22"/>
      <c r="H41" s="22"/>
      <c r="I41" s="22"/>
      <c r="J41" s="180"/>
      <c r="K41" s="22"/>
      <c r="L41" s="22"/>
      <c r="M41" s="22"/>
      <c r="N41" s="238"/>
      <c r="O41" s="197"/>
      <c r="P41" s="22">
        <v>50000</v>
      </c>
      <c r="Q41" s="22"/>
      <c r="R41" s="161"/>
    </row>
    <row r="42" spans="1:18" ht="15" hidden="1" outlineLevel="1">
      <c r="A42" s="7"/>
      <c r="B42" s="237"/>
      <c r="C42" s="22"/>
      <c r="D42" s="22"/>
      <c r="E42" s="22"/>
      <c r="F42" s="210"/>
      <c r="G42" s="22"/>
      <c r="H42" s="22"/>
      <c r="I42" s="22"/>
      <c r="J42" s="180"/>
      <c r="K42" s="22"/>
      <c r="L42" s="22"/>
      <c r="M42" s="22"/>
      <c r="N42" s="238"/>
      <c r="O42" s="197"/>
      <c r="P42" s="22"/>
      <c r="Q42" s="22"/>
      <c r="R42" s="161"/>
    </row>
    <row r="43" spans="1:19" ht="15" hidden="1" outlineLevel="1">
      <c r="A43" s="7" t="s">
        <v>48</v>
      </c>
      <c r="B43" s="239" t="s">
        <v>49</v>
      </c>
      <c r="C43" s="22"/>
      <c r="D43" s="22"/>
      <c r="E43" s="22"/>
      <c r="F43" s="210"/>
      <c r="G43" s="22">
        <f>IF(ISNA(VLOOKUP(A43,Agresso!$A$2:$G$118,7,FALSE)),0,(VLOOKUP(A43,Agresso!$A$2:$G$118,7,FALSE)))</f>
        <v>0</v>
      </c>
      <c r="H43" s="22">
        <v>0</v>
      </c>
      <c r="I43" s="22">
        <v>0</v>
      </c>
      <c r="J43" s="180">
        <v>0</v>
      </c>
      <c r="K43" s="22"/>
      <c r="L43" s="22">
        <v>0</v>
      </c>
      <c r="M43" s="22"/>
      <c r="N43" s="238"/>
      <c r="O43" s="197"/>
      <c r="P43" s="22"/>
      <c r="Q43" s="22"/>
      <c r="R43" s="161"/>
      <c r="S43" s="7"/>
    </row>
    <row r="44" spans="1:19" ht="15" hidden="1" outlineLevel="1">
      <c r="A44" s="7" t="s">
        <v>18</v>
      </c>
      <c r="B44" s="239"/>
      <c r="C44" s="22"/>
      <c r="D44" s="22"/>
      <c r="E44" s="22"/>
      <c r="F44" s="210"/>
      <c r="G44" s="22"/>
      <c r="H44" s="22"/>
      <c r="I44" s="22"/>
      <c r="J44" s="180"/>
      <c r="K44" s="22"/>
      <c r="L44" s="22"/>
      <c r="M44" s="22"/>
      <c r="N44" s="238"/>
      <c r="O44" s="197"/>
      <c r="P44" s="22"/>
      <c r="Q44" s="22"/>
      <c r="R44" s="161"/>
      <c r="S44" s="3"/>
    </row>
    <row r="45" spans="1:19" ht="15" collapsed="1">
      <c r="A45" s="7"/>
      <c r="B45" s="240" t="s">
        <v>465</v>
      </c>
      <c r="C45" s="18">
        <f>SUM(C35:C43)</f>
        <v>29285</v>
      </c>
      <c r="D45" s="18">
        <v>19300</v>
      </c>
      <c r="E45" s="18">
        <f>SUM(E35:E43)</f>
        <v>48585</v>
      </c>
      <c r="F45" s="211">
        <f>SUM(F35:F43)</f>
        <v>48585</v>
      </c>
      <c r="G45" s="18">
        <f>SUM(G35:G43)</f>
        <v>0</v>
      </c>
      <c r="H45" s="18">
        <f>SUM(H35:H43)</f>
        <v>0</v>
      </c>
      <c r="I45" s="18">
        <f>SUM(I35:I43)</f>
        <v>0</v>
      </c>
      <c r="J45" s="2">
        <f>G45/E45</f>
        <v>0</v>
      </c>
      <c r="K45" s="18">
        <f>SUM(K35:K43)</f>
        <v>48585</v>
      </c>
      <c r="L45" s="18">
        <f>SUM(L35:L43)</f>
        <v>0</v>
      </c>
      <c r="M45" s="18">
        <f>SUM(M35:M43)</f>
        <v>0</v>
      </c>
      <c r="N45" s="241">
        <f>SUM(N35:N43)</f>
        <v>0</v>
      </c>
      <c r="O45" s="198"/>
      <c r="P45" s="18">
        <f>SUM(P35:P43)</f>
        <v>100000</v>
      </c>
      <c r="Q45" s="18">
        <f>SUM(Q35:Q43)</f>
        <v>0</v>
      </c>
      <c r="R45" s="21">
        <f>SUM(R35:R43)</f>
        <v>0</v>
      </c>
      <c r="S45" s="9"/>
    </row>
    <row r="46" spans="1:19" ht="15">
      <c r="A46" s="7" t="s">
        <v>18</v>
      </c>
      <c r="B46" s="243"/>
      <c r="C46" s="19"/>
      <c r="D46" s="19"/>
      <c r="E46" s="19"/>
      <c r="F46" s="212"/>
      <c r="G46" s="19"/>
      <c r="H46" s="19"/>
      <c r="I46" s="19"/>
      <c r="J46" s="181"/>
      <c r="K46" s="19"/>
      <c r="L46" s="19"/>
      <c r="M46" s="19"/>
      <c r="N46" s="244"/>
      <c r="O46" s="199"/>
      <c r="P46" s="19"/>
      <c r="Q46" s="19"/>
      <c r="R46" s="162"/>
      <c r="S46" s="10"/>
    </row>
    <row r="47" spans="1:19" ht="15" outlineLevel="1">
      <c r="A47" s="7"/>
      <c r="B47" s="243" t="s">
        <v>449</v>
      </c>
      <c r="C47" s="19"/>
      <c r="D47" s="19"/>
      <c r="E47" s="19"/>
      <c r="F47" s="212"/>
      <c r="G47" s="19"/>
      <c r="H47" s="19"/>
      <c r="I47" s="19"/>
      <c r="J47" s="181"/>
      <c r="K47" s="19"/>
      <c r="L47" s="19"/>
      <c r="M47" s="19"/>
      <c r="N47" s="244"/>
      <c r="O47" s="199"/>
      <c r="P47" s="19"/>
      <c r="Q47" s="19"/>
      <c r="R47" s="162"/>
      <c r="S47" s="10"/>
    </row>
    <row r="48" spans="1:19" ht="25.5" outlineLevel="1">
      <c r="A48" s="7" t="s">
        <v>52</v>
      </c>
      <c r="B48" s="246" t="s">
        <v>53</v>
      </c>
      <c r="C48" s="22">
        <v>128278</v>
      </c>
      <c r="D48" s="22"/>
      <c r="E48" s="22">
        <v>128278</v>
      </c>
      <c r="F48" s="210">
        <v>128278</v>
      </c>
      <c r="G48" s="22">
        <f>IF(ISNA(VLOOKUP(A48,Agresso!$A$2:$G$118,7,FALSE)),0,(VLOOKUP(A48,Agresso!$A$2:$G$118,7,FALSE)))</f>
        <v>0</v>
      </c>
      <c r="H48" s="22">
        <f>VLOOKUP(A48,Profiles!$A:$F,6,FALSE)</f>
        <v>0</v>
      </c>
      <c r="I48" s="22">
        <f>G48-H48</f>
        <v>0</v>
      </c>
      <c r="J48" s="180">
        <f>G48/E48</f>
        <v>0</v>
      </c>
      <c r="K48" s="22">
        <v>0</v>
      </c>
      <c r="L48" s="22">
        <f>K48-F48</f>
        <v>-128278</v>
      </c>
      <c r="M48" s="22">
        <v>-128278</v>
      </c>
      <c r="N48" s="238"/>
      <c r="O48" s="197" t="s">
        <v>746</v>
      </c>
      <c r="P48" s="22"/>
      <c r="Q48" s="22"/>
      <c r="R48" s="161"/>
      <c r="S48" s="12"/>
    </row>
    <row r="49" spans="1:19" ht="15" outlineLevel="1">
      <c r="A49" s="7" t="s">
        <v>58</v>
      </c>
      <c r="B49" s="246" t="s">
        <v>59</v>
      </c>
      <c r="C49" s="22">
        <v>310000</v>
      </c>
      <c r="D49" s="22">
        <v>60900</v>
      </c>
      <c r="E49" s="22">
        <v>370900</v>
      </c>
      <c r="F49" s="210">
        <v>370900</v>
      </c>
      <c r="G49" s="22">
        <f>IF(ISNA(VLOOKUP(A49,Agresso!$A$2:$G$118,7,FALSE)),0,(VLOOKUP(A49,Agresso!$A$2:$G$118,7,FALSE)))</f>
        <v>0</v>
      </c>
      <c r="H49" s="22">
        <f>VLOOKUP(A49,Profiles!$A:$F,6,FALSE)</f>
        <v>0</v>
      </c>
      <c r="I49" s="22">
        <f>G49-H49</f>
        <v>0</v>
      </c>
      <c r="J49" s="180">
        <f>G49/E49</f>
        <v>0</v>
      </c>
      <c r="K49" s="22">
        <v>370900</v>
      </c>
      <c r="L49" s="22">
        <f>K49-F49</f>
        <v>0</v>
      </c>
      <c r="M49" s="22"/>
      <c r="N49" s="238"/>
      <c r="O49" s="197"/>
      <c r="P49" s="22">
        <v>66000</v>
      </c>
      <c r="Q49" s="22"/>
      <c r="R49" s="161"/>
      <c r="S49" s="12"/>
    </row>
    <row r="50" spans="1:19" ht="15" outlineLevel="1">
      <c r="A50" s="7"/>
      <c r="B50" s="246"/>
      <c r="C50" s="22"/>
      <c r="D50" s="22"/>
      <c r="E50" s="22"/>
      <c r="F50" s="210"/>
      <c r="G50" s="22"/>
      <c r="H50" s="22"/>
      <c r="I50" s="22"/>
      <c r="J50" s="180"/>
      <c r="K50" s="22"/>
      <c r="L50" s="22"/>
      <c r="M50" s="22"/>
      <c r="N50" s="238"/>
      <c r="O50" s="197"/>
      <c r="P50" s="22"/>
      <c r="Q50" s="22"/>
      <c r="R50" s="161"/>
      <c r="S50" s="12"/>
    </row>
    <row r="51" spans="1:19" ht="15" outlineLevel="1">
      <c r="A51" s="7"/>
      <c r="B51" s="243" t="s">
        <v>60</v>
      </c>
      <c r="C51" s="17"/>
      <c r="D51" s="17"/>
      <c r="E51" s="22"/>
      <c r="F51" s="210"/>
      <c r="G51" s="17"/>
      <c r="H51" s="17"/>
      <c r="I51" s="17"/>
      <c r="J51" s="180"/>
      <c r="K51" s="17"/>
      <c r="L51" s="17"/>
      <c r="M51" s="17"/>
      <c r="N51" s="247"/>
      <c r="O51" s="200"/>
      <c r="P51" s="17"/>
      <c r="Q51" s="17"/>
      <c r="R51" s="163"/>
      <c r="S51" s="12"/>
    </row>
    <row r="52" spans="1:19" ht="15" outlineLevel="1">
      <c r="A52" s="7" t="s">
        <v>61</v>
      </c>
      <c r="B52" s="246" t="s">
        <v>62</v>
      </c>
      <c r="C52" s="22"/>
      <c r="D52" s="22"/>
      <c r="E52" s="22"/>
      <c r="F52" s="210">
        <v>90000</v>
      </c>
      <c r="G52" s="22">
        <f>IF(ISNA(VLOOKUP(A52,Agresso!$A$2:$G$118,7,FALSE)),0,(VLOOKUP(A52,Agresso!$A$2:$G$118,7,FALSE)))</f>
        <v>250.11</v>
      </c>
      <c r="H52" s="22">
        <v>0</v>
      </c>
      <c r="I52" s="22">
        <f>G52-H52</f>
        <v>250.11</v>
      </c>
      <c r="J52" s="180">
        <v>0</v>
      </c>
      <c r="K52" s="22">
        <v>90000</v>
      </c>
      <c r="L52" s="22">
        <f>K52-F52</f>
        <v>0</v>
      </c>
      <c r="M52" s="22"/>
      <c r="N52" s="238">
        <f>L52</f>
        <v>0</v>
      </c>
      <c r="O52" s="197"/>
      <c r="P52" s="22"/>
      <c r="Q52" s="22"/>
      <c r="R52" s="161"/>
      <c r="S52" s="12"/>
    </row>
    <row r="53" spans="1:19" ht="15" outlineLevel="1">
      <c r="A53" s="7"/>
      <c r="B53" s="246"/>
      <c r="C53" s="22"/>
      <c r="D53" s="22"/>
      <c r="E53" s="22"/>
      <c r="F53" s="210"/>
      <c r="G53" s="22"/>
      <c r="H53" s="22"/>
      <c r="I53" s="22"/>
      <c r="J53" s="180"/>
      <c r="K53" s="22"/>
      <c r="L53" s="22"/>
      <c r="M53" s="22"/>
      <c r="N53" s="238"/>
      <c r="O53" s="197"/>
      <c r="P53" s="22"/>
      <c r="Q53" s="22"/>
      <c r="R53" s="161"/>
      <c r="S53" s="12"/>
    </row>
    <row r="54" spans="1:19" ht="15" outlineLevel="1">
      <c r="A54" s="7"/>
      <c r="B54" s="243" t="s">
        <v>63</v>
      </c>
      <c r="C54" s="17"/>
      <c r="D54" s="17"/>
      <c r="E54" s="22"/>
      <c r="F54" s="210"/>
      <c r="G54" s="17"/>
      <c r="H54" s="17"/>
      <c r="I54" s="17"/>
      <c r="J54" s="180"/>
      <c r="K54" s="17"/>
      <c r="L54" s="17"/>
      <c r="M54" s="17"/>
      <c r="N54" s="247"/>
      <c r="O54" s="200"/>
      <c r="P54" s="17"/>
      <c r="Q54" s="17"/>
      <c r="R54" s="163"/>
      <c r="S54" s="12"/>
    </row>
    <row r="55" spans="1:19" ht="15" outlineLevel="1">
      <c r="A55" s="7" t="s">
        <v>66</v>
      </c>
      <c r="B55" s="246" t="s">
        <v>67</v>
      </c>
      <c r="C55" s="22">
        <v>275570</v>
      </c>
      <c r="D55" s="22">
        <v>91600</v>
      </c>
      <c r="E55" s="22">
        <v>367170</v>
      </c>
      <c r="F55" s="210">
        <v>367170</v>
      </c>
      <c r="G55" s="22">
        <f>IF(ISNA(VLOOKUP(A55,Agresso!$A$2:$G$118,7,FALSE)),0,(VLOOKUP(A55,Agresso!$A$2:$G$118,7,FALSE)))</f>
        <v>9429.22</v>
      </c>
      <c r="H55" s="22">
        <f>VLOOKUP(A55,Profiles!$A:$F,6,FALSE)</f>
        <v>0</v>
      </c>
      <c r="I55" s="22">
        <f>G55-H55</f>
        <v>9429.22</v>
      </c>
      <c r="J55" s="180">
        <f>G55/E55</f>
        <v>0.025680801808426613</v>
      </c>
      <c r="K55" s="22">
        <v>367170</v>
      </c>
      <c r="L55" s="22">
        <f>K55-F55</f>
        <v>0</v>
      </c>
      <c r="M55" s="22"/>
      <c r="N55" s="238"/>
      <c r="O55" s="197"/>
      <c r="P55" s="22">
        <v>313420</v>
      </c>
      <c r="Q55" s="22">
        <v>288200</v>
      </c>
      <c r="R55" s="161">
        <v>413320</v>
      </c>
      <c r="S55" s="12"/>
    </row>
    <row r="56" spans="1:18" ht="15" outlineLevel="1">
      <c r="A56" s="7" t="s">
        <v>68</v>
      </c>
      <c r="B56" s="246" t="s">
        <v>69</v>
      </c>
      <c r="C56" s="22">
        <v>588000</v>
      </c>
      <c r="D56" s="22">
        <v>-11700</v>
      </c>
      <c r="E56" s="22">
        <v>576300</v>
      </c>
      <c r="F56" s="210">
        <v>576300</v>
      </c>
      <c r="G56" s="22">
        <f>IF(ISNA(VLOOKUP(A56,Agresso!$A$2:$G$118,7,FALSE)),0,(VLOOKUP(A56,Agresso!$A$2:$G$118,7,FALSE)))</f>
        <v>20470.25</v>
      </c>
      <c r="H56" s="22">
        <f>VLOOKUP(A56,Profiles!$A:$F,6,FALSE)</f>
        <v>21000</v>
      </c>
      <c r="I56" s="22">
        <f>G56-H56</f>
        <v>-529.75</v>
      </c>
      <c r="J56" s="180">
        <f>G56/E56</f>
        <v>0.03552012840534444</v>
      </c>
      <c r="K56" s="22">
        <v>576300</v>
      </c>
      <c r="L56" s="22">
        <f>K56-F56</f>
        <v>0</v>
      </c>
      <c r="M56" s="22"/>
      <c r="N56" s="238"/>
      <c r="O56" s="197" t="s">
        <v>752</v>
      </c>
      <c r="P56" s="22">
        <v>3200000</v>
      </c>
      <c r="Q56" s="22"/>
      <c r="R56" s="161"/>
    </row>
    <row r="57" spans="1:18" ht="15" outlineLevel="1">
      <c r="A57" s="7"/>
      <c r="B57" s="246"/>
      <c r="C57" s="22"/>
      <c r="D57" s="22"/>
      <c r="E57" s="22"/>
      <c r="F57" s="210"/>
      <c r="G57" s="22"/>
      <c r="H57" s="22"/>
      <c r="I57" s="22"/>
      <c r="J57" s="180"/>
      <c r="K57" s="22"/>
      <c r="L57" s="22"/>
      <c r="M57" s="22"/>
      <c r="N57" s="238"/>
      <c r="O57" s="197"/>
      <c r="P57" s="22"/>
      <c r="Q57" s="22"/>
      <c r="R57" s="161"/>
    </row>
    <row r="58" spans="1:18" ht="15" outlineLevel="1">
      <c r="A58" s="7"/>
      <c r="B58" s="243" t="s">
        <v>70</v>
      </c>
      <c r="C58" s="22"/>
      <c r="D58" s="22"/>
      <c r="E58" s="22"/>
      <c r="F58" s="210"/>
      <c r="G58" s="22"/>
      <c r="H58" s="22"/>
      <c r="I58" s="22"/>
      <c r="J58" s="180"/>
      <c r="K58" s="22"/>
      <c r="L58" s="22"/>
      <c r="M58" s="22"/>
      <c r="N58" s="238"/>
      <c r="O58" s="197"/>
      <c r="P58" s="22"/>
      <c r="Q58" s="22"/>
      <c r="R58" s="161"/>
    </row>
    <row r="59" spans="1:18" ht="15" outlineLevel="1">
      <c r="A59" s="7" t="s">
        <v>71</v>
      </c>
      <c r="B59" s="246" t="s">
        <v>72</v>
      </c>
      <c r="C59" s="22">
        <v>26941</v>
      </c>
      <c r="D59" s="22">
        <v>-7501</v>
      </c>
      <c r="E59" s="22">
        <v>19440</v>
      </c>
      <c r="F59" s="210">
        <v>19440</v>
      </c>
      <c r="G59" s="22">
        <f>IF(ISNA(VLOOKUP(A59,Agresso!$A$2:$G$118,7,FALSE)),0,(VLOOKUP(A59,Agresso!$A$2:$G$118,7,FALSE)))</f>
        <v>32105.6</v>
      </c>
      <c r="H59" s="22">
        <f>VLOOKUP(A59,Profiles!$A:$F,6,FALSE)</f>
        <v>19440</v>
      </c>
      <c r="I59" s="22">
        <f>G59-H59</f>
        <v>12665.599999999999</v>
      </c>
      <c r="J59" s="180">
        <f>G59/E59</f>
        <v>1.6515226337448559</v>
      </c>
      <c r="K59" s="22">
        <v>33000</v>
      </c>
      <c r="L59" s="22">
        <f>K59-F59</f>
        <v>13560</v>
      </c>
      <c r="M59" s="22"/>
      <c r="N59" s="238">
        <f>L59</f>
        <v>13560</v>
      </c>
      <c r="O59" s="197" t="s">
        <v>748</v>
      </c>
      <c r="P59" s="22"/>
      <c r="Q59" s="22"/>
      <c r="R59" s="161"/>
    </row>
    <row r="60" spans="1:18" ht="15" outlineLevel="1">
      <c r="A60" s="7" t="s">
        <v>73</v>
      </c>
      <c r="B60" s="246" t="s">
        <v>74</v>
      </c>
      <c r="C60" s="22"/>
      <c r="D60" s="22">
        <v>56900</v>
      </c>
      <c r="E60" s="22">
        <v>56900</v>
      </c>
      <c r="F60" s="210">
        <v>56900</v>
      </c>
      <c r="G60" s="22">
        <f>IF(ISNA(VLOOKUP(A60,Agresso!$A$2:$G$118,7,FALSE)),0,(VLOOKUP(A60,Agresso!$A$2:$G$118,7,FALSE)))</f>
        <v>0</v>
      </c>
      <c r="H60" s="22">
        <f>VLOOKUP(A60,Profiles!$A:$F,6,FALSE)</f>
        <v>0</v>
      </c>
      <c r="I60" s="22">
        <f>G60-H60</f>
        <v>0</v>
      </c>
      <c r="J60" s="180">
        <f>G60/E60</f>
        <v>0</v>
      </c>
      <c r="K60" s="22">
        <v>56900</v>
      </c>
      <c r="L60" s="22">
        <f>K60-F60</f>
        <v>0</v>
      </c>
      <c r="M60" s="22"/>
      <c r="N60" s="238"/>
      <c r="O60" s="197"/>
      <c r="P60" s="22"/>
      <c r="Q60" s="22"/>
      <c r="R60" s="161"/>
    </row>
    <row r="61" spans="1:18" ht="15" outlineLevel="1">
      <c r="A61" s="7" t="s">
        <v>75</v>
      </c>
      <c r="B61" s="246" t="s">
        <v>76</v>
      </c>
      <c r="C61" s="22">
        <v>90000</v>
      </c>
      <c r="D61" s="22">
        <v>23200</v>
      </c>
      <c r="E61" s="22">
        <v>113200</v>
      </c>
      <c r="F61" s="210">
        <v>113200</v>
      </c>
      <c r="G61" s="22">
        <f>IF(ISNA(VLOOKUP(A61,Agresso!$A$2:$G$118,7,FALSE)),0,(VLOOKUP(A61,Agresso!$A$2:$G$118,7,FALSE)))</f>
        <v>47.29</v>
      </c>
      <c r="H61" s="22">
        <f>VLOOKUP(A61,Profiles!$A:$F,6,FALSE)</f>
        <v>0</v>
      </c>
      <c r="I61" s="22">
        <f>G61-H61</f>
        <v>47.29</v>
      </c>
      <c r="J61" s="180">
        <f>G61/E61</f>
        <v>0.000417756183745583</v>
      </c>
      <c r="K61" s="22">
        <v>113200</v>
      </c>
      <c r="L61" s="22">
        <f>K61-F61</f>
        <v>0</v>
      </c>
      <c r="M61" s="22"/>
      <c r="N61" s="238"/>
      <c r="O61" s="197"/>
      <c r="P61" s="22"/>
      <c r="Q61" s="22"/>
      <c r="R61" s="161"/>
    </row>
    <row r="62" spans="1:18" ht="15" outlineLevel="1">
      <c r="A62" s="7" t="s">
        <v>77</v>
      </c>
      <c r="B62" s="246" t="s">
        <v>78</v>
      </c>
      <c r="C62" s="22">
        <v>200000</v>
      </c>
      <c r="D62" s="22">
        <v>2099.929999999993</v>
      </c>
      <c r="E62" s="22">
        <v>202099.93</v>
      </c>
      <c r="F62" s="210">
        <v>202100</v>
      </c>
      <c r="G62" s="22">
        <f>IF(ISNA(VLOOKUP(A62,Agresso!$A$2:$G$118,7,FALSE)),0,(VLOOKUP(A62,Agresso!$A$2:$G$118,7,FALSE)))</f>
        <v>56545.65</v>
      </c>
      <c r="H62" s="22">
        <f>VLOOKUP(A62,Profiles!$A:$F,6,FALSE)</f>
        <v>57000</v>
      </c>
      <c r="I62" s="22">
        <f>G62-H62</f>
        <v>-454.34999999999854</v>
      </c>
      <c r="J62" s="180">
        <f>G62/E62</f>
        <v>0.279790547181288</v>
      </c>
      <c r="K62" s="22">
        <f>202099.93-13560</f>
        <v>188539.93</v>
      </c>
      <c r="L62" s="22">
        <f>K62-F62</f>
        <v>-13560.070000000007</v>
      </c>
      <c r="M62" s="22"/>
      <c r="N62" s="238">
        <f>L62</f>
        <v>-13560.070000000007</v>
      </c>
      <c r="O62" s="197"/>
      <c r="P62" s="22">
        <v>150000</v>
      </c>
      <c r="Q62" s="22">
        <v>75000</v>
      </c>
      <c r="R62" s="161"/>
    </row>
    <row r="63" spans="1:18" ht="15" outlineLevel="1">
      <c r="A63" s="7" t="s">
        <v>79</v>
      </c>
      <c r="B63" s="237" t="s">
        <v>80</v>
      </c>
      <c r="C63" s="22">
        <v>100000</v>
      </c>
      <c r="D63" s="22">
        <v>25200</v>
      </c>
      <c r="E63" s="22">
        <v>125200</v>
      </c>
      <c r="F63" s="210">
        <v>125200</v>
      </c>
      <c r="G63" s="22">
        <f>IF(ISNA(VLOOKUP(A63,Agresso!$A$2:$G$118,7,FALSE)),0,(VLOOKUP(A63,Agresso!$A$2:$G$118,7,FALSE)))</f>
        <v>0</v>
      </c>
      <c r="H63" s="22">
        <f>VLOOKUP(A63,Profiles!$A:$F,6,FALSE)</f>
        <v>0</v>
      </c>
      <c r="I63" s="22">
        <f>G63-H63</f>
        <v>0</v>
      </c>
      <c r="J63" s="180">
        <f>G63/E63</f>
        <v>0</v>
      </c>
      <c r="K63" s="22">
        <v>125200</v>
      </c>
      <c r="L63" s="22">
        <f>K63-F63</f>
        <v>0</v>
      </c>
      <c r="M63" s="22"/>
      <c r="N63" s="238"/>
      <c r="O63" s="197"/>
      <c r="P63" s="22"/>
      <c r="Q63" s="22"/>
      <c r="R63" s="161"/>
    </row>
    <row r="64" spans="1:18" ht="15" outlineLevel="1">
      <c r="A64" s="7" t="s">
        <v>81</v>
      </c>
      <c r="B64" s="246" t="s">
        <v>82</v>
      </c>
      <c r="C64" s="22"/>
      <c r="D64" s="22"/>
      <c r="E64" s="22"/>
      <c r="F64" s="210"/>
      <c r="G64" s="22">
        <f>IF(ISNA(VLOOKUP(A64,Agresso!$A$2:$G$118,7,FALSE)),0,(VLOOKUP(A64,Agresso!$A$2:$G$118,7,FALSE)))</f>
        <v>0</v>
      </c>
      <c r="H64" s="22"/>
      <c r="I64" s="22"/>
      <c r="J64" s="180"/>
      <c r="K64" s="22"/>
      <c r="L64" s="22"/>
      <c r="M64" s="22"/>
      <c r="N64" s="238"/>
      <c r="O64" s="197"/>
      <c r="P64" s="22"/>
      <c r="Q64" s="22"/>
      <c r="R64" s="161"/>
    </row>
    <row r="65" spans="1:18" ht="15" outlineLevel="1">
      <c r="A65" s="7"/>
      <c r="B65" s="246"/>
      <c r="C65" s="22"/>
      <c r="D65" s="22"/>
      <c r="E65" s="22"/>
      <c r="F65" s="210"/>
      <c r="G65" s="22"/>
      <c r="H65" s="22"/>
      <c r="I65" s="22"/>
      <c r="J65" s="180"/>
      <c r="K65" s="22"/>
      <c r="L65" s="22"/>
      <c r="M65" s="22"/>
      <c r="N65" s="238"/>
      <c r="O65" s="197"/>
      <c r="P65" s="22"/>
      <c r="Q65" s="22"/>
      <c r="R65" s="161"/>
    </row>
    <row r="66" spans="1:18" ht="15" outlineLevel="1">
      <c r="A66" s="7"/>
      <c r="B66" s="243" t="s">
        <v>83</v>
      </c>
      <c r="C66" s="22"/>
      <c r="D66" s="22"/>
      <c r="E66" s="22"/>
      <c r="F66" s="210"/>
      <c r="G66" s="22"/>
      <c r="H66" s="22"/>
      <c r="I66" s="22"/>
      <c r="J66" s="180"/>
      <c r="K66" s="22"/>
      <c r="L66" s="22"/>
      <c r="M66" s="22"/>
      <c r="N66" s="238"/>
      <c r="O66" s="197"/>
      <c r="P66" s="22"/>
      <c r="Q66" s="22"/>
      <c r="R66" s="161"/>
    </row>
    <row r="67" spans="1:18" ht="15" outlineLevel="1">
      <c r="A67" s="7" t="s">
        <v>84</v>
      </c>
      <c r="B67" s="246" t="s">
        <v>85</v>
      </c>
      <c r="C67" s="22"/>
      <c r="D67" s="22">
        <v>27000</v>
      </c>
      <c r="E67" s="22">
        <v>27000</v>
      </c>
      <c r="F67" s="210">
        <v>27000</v>
      </c>
      <c r="G67" s="22">
        <f>IF(ISNA(VLOOKUP(A67,Agresso!$A$2:$G$118,7,FALSE)),0,(VLOOKUP(A67,Agresso!$A$2:$G$118,7,FALSE)))</f>
        <v>0</v>
      </c>
      <c r="H67" s="22">
        <f>VLOOKUP(A67,Profiles!$A:$F,6,FALSE)</f>
        <v>0</v>
      </c>
      <c r="I67" s="22">
        <f aca="true" t="shared" si="3" ref="I67:I74">G67-H67</f>
        <v>0</v>
      </c>
      <c r="J67" s="180">
        <f aca="true" t="shared" si="4" ref="J67:J74">G67/E67</f>
        <v>0</v>
      </c>
      <c r="K67" s="22">
        <v>27000</v>
      </c>
      <c r="L67" s="22">
        <f aca="true" t="shared" si="5" ref="L67:L74">K67-F67</f>
        <v>0</v>
      </c>
      <c r="M67" s="22"/>
      <c r="N67" s="238"/>
      <c r="O67" s="197"/>
      <c r="P67" s="22"/>
      <c r="Q67" s="22"/>
      <c r="R67" s="161"/>
    </row>
    <row r="68" spans="1:18" ht="15" outlineLevel="1">
      <c r="A68" s="7" t="s">
        <v>86</v>
      </c>
      <c r="B68" s="246" t="s">
        <v>87</v>
      </c>
      <c r="C68" s="22">
        <v>103400</v>
      </c>
      <c r="D68" s="22">
        <v>113880</v>
      </c>
      <c r="E68" s="22">
        <v>217280</v>
      </c>
      <c r="F68" s="210">
        <v>217280</v>
      </c>
      <c r="G68" s="22">
        <f>IF(ISNA(VLOOKUP(A68,Agresso!$A$2:$G$118,7,FALSE)),0,(VLOOKUP(A68,Agresso!$A$2:$G$118,7,FALSE)))</f>
        <v>3460.45</v>
      </c>
      <c r="H68" s="22">
        <f>VLOOKUP(A68,Profiles!$A:$F,6,FALSE)</f>
        <v>5000</v>
      </c>
      <c r="I68" s="22">
        <f t="shared" si="3"/>
        <v>-1539.5500000000002</v>
      </c>
      <c r="J68" s="180">
        <f t="shared" si="4"/>
        <v>0.015926224226804123</v>
      </c>
      <c r="K68" s="22">
        <v>217280</v>
      </c>
      <c r="L68" s="22">
        <f t="shared" si="5"/>
        <v>0</v>
      </c>
      <c r="M68" s="22"/>
      <c r="N68" s="238"/>
      <c r="O68" s="197"/>
      <c r="P68" s="22"/>
      <c r="Q68" s="22">
        <v>33800</v>
      </c>
      <c r="R68" s="161">
        <v>17400</v>
      </c>
    </row>
    <row r="69" spans="1:18" ht="15" outlineLevel="1">
      <c r="A69" s="7" t="s">
        <v>88</v>
      </c>
      <c r="B69" s="246" t="s">
        <v>89</v>
      </c>
      <c r="C69" s="22">
        <v>70000</v>
      </c>
      <c r="D69" s="22">
        <v>-2519.5099999999948</v>
      </c>
      <c r="E69" s="22">
        <v>67480.49</v>
      </c>
      <c r="F69" s="210">
        <v>67480</v>
      </c>
      <c r="G69" s="22">
        <f>IF(ISNA(VLOOKUP(A69,Agresso!$A$2:$G$118,7,FALSE)),0,(VLOOKUP(A69,Agresso!$A$2:$G$118,7,FALSE)))</f>
        <v>2963.69</v>
      </c>
      <c r="H69" s="22">
        <f>VLOOKUP(A69,Profiles!$A:$F,6,FALSE)</f>
        <v>3000</v>
      </c>
      <c r="I69" s="22">
        <f t="shared" si="3"/>
        <v>-36.309999999999945</v>
      </c>
      <c r="J69" s="180">
        <f t="shared" si="4"/>
        <v>0.043919212797654546</v>
      </c>
      <c r="K69" s="22">
        <v>67480.49</v>
      </c>
      <c r="L69" s="22">
        <f t="shared" si="5"/>
        <v>0.4900000000052387</v>
      </c>
      <c r="M69" s="22"/>
      <c r="N69" s="238"/>
      <c r="O69" s="197"/>
      <c r="P69" s="22">
        <v>10000</v>
      </c>
      <c r="Q69" s="22">
        <v>24000</v>
      </c>
      <c r="R69" s="161"/>
    </row>
    <row r="70" spans="1:18" ht="15" outlineLevel="1">
      <c r="A70" s="7" t="s">
        <v>92</v>
      </c>
      <c r="B70" s="246" t="s">
        <v>93</v>
      </c>
      <c r="C70" s="22">
        <v>47200</v>
      </c>
      <c r="D70" s="22"/>
      <c r="E70" s="22">
        <v>47200</v>
      </c>
      <c r="F70" s="210">
        <v>47200</v>
      </c>
      <c r="G70" s="22">
        <f>IF(ISNA(VLOOKUP(A70,Agresso!$A$2:$G$118,7,FALSE)),0,(VLOOKUP(A70,Agresso!$A$2:$G$118,7,FALSE)))</f>
        <v>0</v>
      </c>
      <c r="H70" s="22">
        <f>VLOOKUP(A70,Profiles!$A:$F,6,FALSE)</f>
        <v>0</v>
      </c>
      <c r="I70" s="22">
        <f t="shared" si="3"/>
        <v>0</v>
      </c>
      <c r="J70" s="180">
        <f t="shared" si="4"/>
        <v>0</v>
      </c>
      <c r="K70" s="22">
        <v>47200</v>
      </c>
      <c r="L70" s="22">
        <f t="shared" si="5"/>
        <v>0</v>
      </c>
      <c r="M70" s="22"/>
      <c r="N70" s="238"/>
      <c r="O70" s="197"/>
      <c r="P70" s="22">
        <v>38600</v>
      </c>
      <c r="Q70" s="22">
        <v>80700</v>
      </c>
      <c r="R70" s="161">
        <v>257100</v>
      </c>
    </row>
    <row r="71" spans="1:18" ht="15" outlineLevel="1">
      <c r="A71" s="7" t="s">
        <v>94</v>
      </c>
      <c r="B71" s="246" t="s">
        <v>95</v>
      </c>
      <c r="C71" s="22">
        <v>43000</v>
      </c>
      <c r="D71" s="22">
        <v>-3750</v>
      </c>
      <c r="E71" s="22">
        <v>39250</v>
      </c>
      <c r="F71" s="210">
        <v>39250</v>
      </c>
      <c r="G71" s="22">
        <f>IF(ISNA(VLOOKUP(A71,Agresso!$A$2:$G$118,7,FALSE)),0,(VLOOKUP(A71,Agresso!$A$2:$G$118,7,FALSE)))</f>
        <v>1615.63</v>
      </c>
      <c r="H71" s="22">
        <f>VLOOKUP(A71,Profiles!$A:$F,6,FALSE)</f>
        <v>2000</v>
      </c>
      <c r="I71" s="22">
        <f t="shared" si="3"/>
        <v>-384.3699999999999</v>
      </c>
      <c r="J71" s="180">
        <f t="shared" si="4"/>
        <v>0.04116254777070064</v>
      </c>
      <c r="K71" s="22">
        <v>39250</v>
      </c>
      <c r="L71" s="22">
        <f t="shared" si="5"/>
        <v>0</v>
      </c>
      <c r="M71" s="22"/>
      <c r="N71" s="238"/>
      <c r="O71" s="197"/>
      <c r="P71" s="22"/>
      <c r="Q71" s="22"/>
      <c r="R71" s="161"/>
    </row>
    <row r="72" spans="1:18" ht="15" outlineLevel="1">
      <c r="A72" s="7" t="s">
        <v>96</v>
      </c>
      <c r="B72" s="246" t="s">
        <v>97</v>
      </c>
      <c r="C72" s="22">
        <v>76220</v>
      </c>
      <c r="D72" s="22">
        <v>-500</v>
      </c>
      <c r="E72" s="22">
        <v>75720</v>
      </c>
      <c r="F72" s="210">
        <v>75720</v>
      </c>
      <c r="G72" s="22">
        <f>IF(ISNA(VLOOKUP(A72,Agresso!$A$2:$G$118,7,FALSE)),0,(VLOOKUP(A72,Agresso!$A$2:$G$118,7,FALSE)))</f>
        <v>3747.79</v>
      </c>
      <c r="H72" s="22">
        <f>VLOOKUP(A72,Profiles!$A:$F,6,FALSE)</f>
        <v>4000</v>
      </c>
      <c r="I72" s="22">
        <f t="shared" si="3"/>
        <v>-252.21000000000004</v>
      </c>
      <c r="J72" s="180">
        <f t="shared" si="4"/>
        <v>0.049495377707342844</v>
      </c>
      <c r="K72" s="22">
        <v>75720</v>
      </c>
      <c r="L72" s="22">
        <f t="shared" si="5"/>
        <v>0</v>
      </c>
      <c r="M72" s="22"/>
      <c r="N72" s="238"/>
      <c r="O72" s="197"/>
      <c r="P72" s="22"/>
      <c r="Q72" s="22"/>
      <c r="R72" s="161"/>
    </row>
    <row r="73" spans="1:18" ht="15" outlineLevel="1">
      <c r="A73" s="11" t="s">
        <v>318</v>
      </c>
      <c r="B73" s="237" t="s">
        <v>438</v>
      </c>
      <c r="C73" s="22">
        <v>203000</v>
      </c>
      <c r="D73" s="22"/>
      <c r="E73" s="22">
        <v>203000</v>
      </c>
      <c r="F73" s="210">
        <v>203000</v>
      </c>
      <c r="G73" s="22">
        <f>IF(ISNA(VLOOKUP(A73,Agresso!$A$2:$G$118,7,FALSE)),0,(VLOOKUP(A73,Agresso!$A$2:$G$118,7,FALSE)))</f>
        <v>51200.9</v>
      </c>
      <c r="H73" s="22">
        <f>VLOOKUP(A73,Profiles!$A:$F,6,FALSE)</f>
        <v>50000</v>
      </c>
      <c r="I73" s="22">
        <f t="shared" si="3"/>
        <v>1200.9000000000015</v>
      </c>
      <c r="J73" s="180">
        <f t="shared" si="4"/>
        <v>0.25222118226600987</v>
      </c>
      <c r="K73" s="22">
        <v>203000</v>
      </c>
      <c r="L73" s="22">
        <f t="shared" si="5"/>
        <v>0</v>
      </c>
      <c r="M73" s="22"/>
      <c r="N73" s="238"/>
      <c r="O73" s="197"/>
      <c r="P73" s="22"/>
      <c r="Q73" s="22">
        <v>77800</v>
      </c>
      <c r="R73" s="161"/>
    </row>
    <row r="74" spans="1:18" ht="15" outlineLevel="1">
      <c r="A74" s="11" t="s">
        <v>333</v>
      </c>
      <c r="B74" s="237" t="s">
        <v>439</v>
      </c>
      <c r="C74" s="22">
        <v>350000</v>
      </c>
      <c r="D74" s="22"/>
      <c r="E74" s="22">
        <v>350000</v>
      </c>
      <c r="F74" s="210">
        <v>350000</v>
      </c>
      <c r="G74" s="22">
        <f>IF(ISNA(VLOOKUP(A74,Agresso!$A$2:$G$118,7,FALSE)),0,(VLOOKUP(A74,Agresso!$A$2:$G$118,7,FALSE)))</f>
        <v>0</v>
      </c>
      <c r="H74" s="22">
        <f>VLOOKUP(A74,Profiles!$A:$F,6,FALSE)</f>
        <v>0</v>
      </c>
      <c r="I74" s="22">
        <f t="shared" si="3"/>
        <v>0</v>
      </c>
      <c r="J74" s="180">
        <f t="shared" si="4"/>
        <v>0</v>
      </c>
      <c r="K74" s="22">
        <v>350000</v>
      </c>
      <c r="L74" s="22">
        <f t="shared" si="5"/>
        <v>0</v>
      </c>
      <c r="M74" s="22"/>
      <c r="N74" s="238"/>
      <c r="O74" s="197"/>
      <c r="P74" s="22"/>
      <c r="Q74" s="22"/>
      <c r="R74" s="161"/>
    </row>
    <row r="75" spans="1:18" ht="15" outlineLevel="1">
      <c r="A75" s="7"/>
      <c r="B75" s="246"/>
      <c r="C75" s="22"/>
      <c r="D75" s="22"/>
      <c r="E75" s="22"/>
      <c r="F75" s="210"/>
      <c r="G75" s="22"/>
      <c r="H75" s="22"/>
      <c r="I75" s="22"/>
      <c r="J75" s="180"/>
      <c r="K75" s="22"/>
      <c r="L75" s="22"/>
      <c r="M75" s="22"/>
      <c r="N75" s="238"/>
      <c r="O75" s="197"/>
      <c r="P75" s="22"/>
      <c r="Q75" s="22"/>
      <c r="R75" s="161"/>
    </row>
    <row r="76" spans="1:18" ht="15" outlineLevel="1">
      <c r="A76" s="7"/>
      <c r="B76" s="243" t="s">
        <v>100</v>
      </c>
      <c r="C76" s="22"/>
      <c r="D76" s="22"/>
      <c r="E76" s="22"/>
      <c r="F76" s="210"/>
      <c r="G76" s="22"/>
      <c r="H76" s="22"/>
      <c r="I76" s="22"/>
      <c r="J76" s="180"/>
      <c r="K76" s="22"/>
      <c r="L76" s="22"/>
      <c r="M76" s="22"/>
      <c r="N76" s="238"/>
      <c r="O76" s="197"/>
      <c r="P76" s="22"/>
      <c r="Q76" s="22"/>
      <c r="R76" s="161"/>
    </row>
    <row r="77" spans="1:18" ht="25.5" outlineLevel="1">
      <c r="A77" s="7" t="s">
        <v>105</v>
      </c>
      <c r="B77" s="246" t="s">
        <v>106</v>
      </c>
      <c r="C77" s="22">
        <v>230000</v>
      </c>
      <c r="D77" s="22">
        <v>66100</v>
      </c>
      <c r="E77" s="22">
        <v>296100</v>
      </c>
      <c r="F77" s="210">
        <v>296100</v>
      </c>
      <c r="G77" s="22">
        <f>IF(ISNA(VLOOKUP(A77,Agresso!$A$2:$G$118,7,FALSE)),0,(VLOOKUP(A77,Agresso!$A$2:$G$118,7,FALSE)))</f>
        <v>1447.19</v>
      </c>
      <c r="H77" s="22">
        <f>VLOOKUP(A77,Profiles!$A:$F,6,FALSE)</f>
        <v>1500</v>
      </c>
      <c r="I77" s="22">
        <f aca="true" t="shared" si="6" ref="I77:I84">G77-H77</f>
        <v>-52.809999999999945</v>
      </c>
      <c r="J77" s="180">
        <f aca="true" t="shared" si="7" ref="J77:J84">G77/E77</f>
        <v>0.004887504221546775</v>
      </c>
      <c r="K77" s="22">
        <v>296100</v>
      </c>
      <c r="L77" s="22">
        <f aca="true" t="shared" si="8" ref="L77:L84">K77-F77</f>
        <v>0</v>
      </c>
      <c r="M77" s="22"/>
      <c r="N77" s="238"/>
      <c r="O77" s="197" t="s">
        <v>749</v>
      </c>
      <c r="P77" s="22">
        <v>80000</v>
      </c>
      <c r="Q77" s="22">
        <v>60000</v>
      </c>
      <c r="R77" s="161">
        <v>50000</v>
      </c>
    </row>
    <row r="78" spans="1:18" ht="15" outlineLevel="1">
      <c r="A78" s="7" t="s">
        <v>109</v>
      </c>
      <c r="B78" s="239" t="s">
        <v>110</v>
      </c>
      <c r="C78" s="22">
        <v>90000</v>
      </c>
      <c r="D78" s="22"/>
      <c r="E78" s="22">
        <v>90000</v>
      </c>
      <c r="F78" s="210">
        <v>90000</v>
      </c>
      <c r="G78" s="22">
        <f>IF(ISNA(VLOOKUP(A78,Agresso!$A$2:$G$118,7,FALSE)),0,(VLOOKUP(A78,Agresso!$A$2:$G$118,7,FALSE)))</f>
        <v>48754.84</v>
      </c>
      <c r="H78" s="22">
        <f>VLOOKUP(A78,Profiles!$A:$F,6,FALSE)</f>
        <v>48000</v>
      </c>
      <c r="I78" s="22">
        <f t="shared" si="6"/>
        <v>754.8399999999965</v>
      </c>
      <c r="J78" s="180">
        <f t="shared" si="7"/>
        <v>0.5417204444444444</v>
      </c>
      <c r="K78" s="22">
        <v>90000</v>
      </c>
      <c r="L78" s="22">
        <f t="shared" si="8"/>
        <v>0</v>
      </c>
      <c r="M78" s="22"/>
      <c r="N78" s="238"/>
      <c r="O78" s="197"/>
      <c r="P78" s="22"/>
      <c r="Q78" s="22"/>
      <c r="R78" s="161">
        <v>14360</v>
      </c>
    </row>
    <row r="79" spans="1:18" ht="15" outlineLevel="1">
      <c r="A79" s="7" t="s">
        <v>117</v>
      </c>
      <c r="B79" s="246" t="s">
        <v>753</v>
      </c>
      <c r="C79" s="22">
        <v>1880000</v>
      </c>
      <c r="D79" s="22"/>
      <c r="E79" s="22">
        <v>1880000</v>
      </c>
      <c r="F79" s="210">
        <v>0</v>
      </c>
      <c r="G79" s="22">
        <f>IF(ISNA(VLOOKUP(A79,Agresso!$A$2:$G$118,7,FALSE)),0,(VLOOKUP(A79,Agresso!$A$2:$G$118,7,FALSE)))</f>
        <v>0</v>
      </c>
      <c r="H79" s="22">
        <f>VLOOKUP(A79,Profiles!$A:$F,6,FALSE)</f>
        <v>0</v>
      </c>
      <c r="I79" s="22">
        <f t="shared" si="6"/>
        <v>0</v>
      </c>
      <c r="J79" s="180">
        <f t="shared" si="7"/>
        <v>0</v>
      </c>
      <c r="K79" s="22">
        <v>0</v>
      </c>
      <c r="L79" s="22">
        <f t="shared" si="8"/>
        <v>0</v>
      </c>
      <c r="M79" s="22"/>
      <c r="N79" s="238"/>
      <c r="O79" s="197"/>
      <c r="P79" s="22"/>
      <c r="Q79" s="22"/>
      <c r="R79" s="161"/>
    </row>
    <row r="80" spans="1:18" ht="15" outlineLevel="1">
      <c r="A80" s="11" t="s">
        <v>335</v>
      </c>
      <c r="B80" s="237" t="s">
        <v>440</v>
      </c>
      <c r="C80" s="22">
        <v>5000</v>
      </c>
      <c r="D80" s="22"/>
      <c r="E80" s="22">
        <v>5000</v>
      </c>
      <c r="F80" s="210">
        <v>5000</v>
      </c>
      <c r="G80" s="22">
        <f>IF(ISNA(VLOOKUP(A80,Agresso!$A$2:$G$118,7,FALSE)),0,(VLOOKUP(A80,Agresso!$A$2:$G$118,7,FALSE)))</f>
        <v>0</v>
      </c>
      <c r="H80" s="22">
        <f>VLOOKUP(A80,Profiles!$A:$F,6,FALSE)</f>
        <v>0</v>
      </c>
      <c r="I80" s="22">
        <f t="shared" si="6"/>
        <v>0</v>
      </c>
      <c r="J80" s="180">
        <f t="shared" si="7"/>
        <v>0</v>
      </c>
      <c r="K80" s="22">
        <v>5000</v>
      </c>
      <c r="L80" s="22">
        <f t="shared" si="8"/>
        <v>0</v>
      </c>
      <c r="M80" s="22"/>
      <c r="N80" s="238"/>
      <c r="O80" s="197"/>
      <c r="P80" s="22"/>
      <c r="Q80" s="22"/>
      <c r="R80" s="161"/>
    </row>
    <row r="81" spans="1:18" ht="15" outlineLevel="1">
      <c r="A81" s="11" t="s">
        <v>345</v>
      </c>
      <c r="B81" s="237" t="s">
        <v>444</v>
      </c>
      <c r="C81" s="22">
        <v>3000</v>
      </c>
      <c r="D81" s="22"/>
      <c r="E81" s="22">
        <v>3000</v>
      </c>
      <c r="F81" s="210">
        <v>3000</v>
      </c>
      <c r="G81" s="22">
        <f>IF(ISNA(VLOOKUP(A81,Agresso!$A$2:$G$118,7,FALSE)),0,(VLOOKUP(A81,Agresso!$A$2:$G$118,7,FALSE)))</f>
        <v>0</v>
      </c>
      <c r="H81" s="22">
        <f>VLOOKUP(A81,Profiles!$A:$F,6,FALSE)</f>
        <v>0</v>
      </c>
      <c r="I81" s="22">
        <f t="shared" si="6"/>
        <v>0</v>
      </c>
      <c r="J81" s="180">
        <f t="shared" si="7"/>
        <v>0</v>
      </c>
      <c r="K81" s="22">
        <v>3000</v>
      </c>
      <c r="L81" s="22">
        <f t="shared" si="8"/>
        <v>0</v>
      </c>
      <c r="M81" s="22"/>
      <c r="N81" s="238"/>
      <c r="O81" s="197"/>
      <c r="P81" s="22">
        <v>13700</v>
      </c>
      <c r="Q81" s="22">
        <v>34450</v>
      </c>
      <c r="R81" s="161">
        <v>10200</v>
      </c>
    </row>
    <row r="82" spans="1:18" ht="15" outlineLevel="1">
      <c r="A82" s="11" t="s">
        <v>347</v>
      </c>
      <c r="B82" s="237" t="s">
        <v>445</v>
      </c>
      <c r="C82" s="22">
        <v>8110</v>
      </c>
      <c r="D82" s="22"/>
      <c r="E82" s="22">
        <v>8110</v>
      </c>
      <c r="F82" s="210">
        <v>8110</v>
      </c>
      <c r="G82" s="22">
        <f>IF(ISNA(VLOOKUP(A82,Agresso!$A$2:$G$118,7,FALSE)),0,(VLOOKUP(A82,Agresso!$A$2:$G$118,7,FALSE)))</f>
        <v>0</v>
      </c>
      <c r="H82" s="22">
        <f>VLOOKUP(A82,Profiles!$A:$F,6,FALSE)</f>
        <v>0</v>
      </c>
      <c r="I82" s="22">
        <f t="shared" si="6"/>
        <v>0</v>
      </c>
      <c r="J82" s="180">
        <f t="shared" si="7"/>
        <v>0</v>
      </c>
      <c r="K82" s="22">
        <v>8110</v>
      </c>
      <c r="L82" s="22">
        <f t="shared" si="8"/>
        <v>0</v>
      </c>
      <c r="M82" s="22"/>
      <c r="N82" s="238"/>
      <c r="O82" s="197"/>
      <c r="P82" s="22"/>
      <c r="Q82" s="22">
        <v>10720</v>
      </c>
      <c r="R82" s="161"/>
    </row>
    <row r="83" spans="1:18" ht="15" outlineLevel="1">
      <c r="A83" s="11" t="s">
        <v>343</v>
      </c>
      <c r="B83" s="237" t="s">
        <v>443</v>
      </c>
      <c r="C83" s="22">
        <v>150000</v>
      </c>
      <c r="D83" s="22"/>
      <c r="E83" s="22">
        <v>150000</v>
      </c>
      <c r="F83" s="210">
        <v>150000</v>
      </c>
      <c r="G83" s="22">
        <f>IF(ISNA(VLOOKUP(A83,Agresso!$A$2:$G$118,7,FALSE)),0,(VLOOKUP(A83,Agresso!$A$2:$G$118,7,FALSE)))</f>
        <v>0</v>
      </c>
      <c r="H83" s="22">
        <f>VLOOKUP(A83,Profiles!$A:$F,6,FALSE)</f>
        <v>0</v>
      </c>
      <c r="I83" s="22">
        <f t="shared" si="6"/>
        <v>0</v>
      </c>
      <c r="J83" s="180">
        <f t="shared" si="7"/>
        <v>0</v>
      </c>
      <c r="K83" s="22">
        <v>150000</v>
      </c>
      <c r="L83" s="22">
        <f t="shared" si="8"/>
        <v>0</v>
      </c>
      <c r="M83" s="22"/>
      <c r="N83" s="238"/>
      <c r="O83" s="197"/>
      <c r="P83" s="22"/>
      <c r="Q83" s="22">
        <v>210600</v>
      </c>
      <c r="R83" s="161">
        <v>25500</v>
      </c>
    </row>
    <row r="84" spans="1:18" ht="15" outlineLevel="1">
      <c r="A84" s="11" t="s">
        <v>349</v>
      </c>
      <c r="B84" s="237" t="s">
        <v>446</v>
      </c>
      <c r="C84" s="22">
        <v>150000</v>
      </c>
      <c r="D84" s="22"/>
      <c r="E84" s="22">
        <v>150000</v>
      </c>
      <c r="F84" s="210">
        <v>150000</v>
      </c>
      <c r="G84" s="22">
        <f>IF(ISNA(VLOOKUP(A84,Agresso!$A$2:$G$118,7,FALSE)),0,(VLOOKUP(A84,Agresso!$A$2:$G$118,7,FALSE)))</f>
        <v>0</v>
      </c>
      <c r="H84" s="22">
        <f>VLOOKUP(A84,Profiles!$A:$F,6,FALSE)</f>
        <v>0</v>
      </c>
      <c r="I84" s="22">
        <f t="shared" si="6"/>
        <v>0</v>
      </c>
      <c r="J84" s="180">
        <f t="shared" si="7"/>
        <v>0</v>
      </c>
      <c r="K84" s="22">
        <v>150000</v>
      </c>
      <c r="L84" s="22">
        <f t="shared" si="8"/>
        <v>0</v>
      </c>
      <c r="M84" s="22"/>
      <c r="N84" s="238"/>
      <c r="O84" s="197"/>
      <c r="P84" s="22"/>
      <c r="Q84" s="22"/>
      <c r="R84" s="161"/>
    </row>
    <row r="85" spans="1:18" ht="15" outlineLevel="1">
      <c r="A85" s="11"/>
      <c r="B85" s="237" t="s">
        <v>527</v>
      </c>
      <c r="C85" s="22"/>
      <c r="D85" s="22"/>
      <c r="E85" s="22"/>
      <c r="F85" s="210"/>
      <c r="G85" s="22"/>
      <c r="H85" s="22"/>
      <c r="I85" s="22"/>
      <c r="J85" s="180"/>
      <c r="K85" s="22"/>
      <c r="L85" s="22"/>
      <c r="M85" s="22"/>
      <c r="N85" s="238"/>
      <c r="O85" s="197"/>
      <c r="P85" s="22"/>
      <c r="Q85" s="22">
        <v>87900</v>
      </c>
      <c r="R85" s="161"/>
    </row>
    <row r="86" spans="1:18" ht="15" outlineLevel="1">
      <c r="A86" s="7"/>
      <c r="B86" s="246"/>
      <c r="C86" s="22"/>
      <c r="D86" s="22"/>
      <c r="E86" s="22"/>
      <c r="F86" s="210"/>
      <c r="G86" s="22"/>
      <c r="H86" s="22"/>
      <c r="I86" s="22"/>
      <c r="J86" s="180"/>
      <c r="K86" s="22"/>
      <c r="L86" s="22"/>
      <c r="M86" s="22"/>
      <c r="N86" s="238"/>
      <c r="O86" s="197"/>
      <c r="P86" s="22"/>
      <c r="Q86" s="22"/>
      <c r="R86" s="161"/>
    </row>
    <row r="87" spans="1:18" ht="15" outlineLevel="1">
      <c r="A87" s="7"/>
      <c r="B87" s="243" t="s">
        <v>119</v>
      </c>
      <c r="C87" s="22"/>
      <c r="D87" s="22"/>
      <c r="E87" s="22"/>
      <c r="F87" s="210"/>
      <c r="G87" s="22"/>
      <c r="H87" s="22"/>
      <c r="I87" s="22"/>
      <c r="J87" s="180"/>
      <c r="K87" s="22"/>
      <c r="L87" s="22"/>
      <c r="M87" s="22"/>
      <c r="N87" s="238"/>
      <c r="O87" s="197"/>
      <c r="P87" s="22"/>
      <c r="Q87" s="22"/>
      <c r="R87" s="161"/>
    </row>
    <row r="88" spans="1:18" ht="15" outlineLevel="1">
      <c r="A88" s="7" t="s">
        <v>120</v>
      </c>
      <c r="B88" s="246" t="s">
        <v>121</v>
      </c>
      <c r="C88" s="22">
        <v>58500</v>
      </c>
      <c r="D88" s="22">
        <v>-3300</v>
      </c>
      <c r="E88" s="22">
        <v>55200</v>
      </c>
      <c r="F88" s="210">
        <v>55200</v>
      </c>
      <c r="G88" s="22">
        <f>IF(ISNA(VLOOKUP(A88,Agresso!$A$2:$G$118,7,FALSE)),0,(VLOOKUP(A88,Agresso!$A$2:$G$118,7,FALSE)))</f>
        <v>3738.04</v>
      </c>
      <c r="H88" s="22">
        <f>VLOOKUP(A88,Profiles!$A:$F,6,FALSE)</f>
        <v>4000</v>
      </c>
      <c r="I88" s="22">
        <f aca="true" t="shared" si="9" ref="I88:I93">G88-H88</f>
        <v>-261.96000000000004</v>
      </c>
      <c r="J88" s="180">
        <f aca="true" t="shared" si="10" ref="J88:J93">G88/E88</f>
        <v>0.06771811594202898</v>
      </c>
      <c r="K88" s="22">
        <v>55200</v>
      </c>
      <c r="L88" s="22">
        <f aca="true" t="shared" si="11" ref="L88:L93">K88-F88</f>
        <v>0</v>
      </c>
      <c r="M88" s="22"/>
      <c r="N88" s="238"/>
      <c r="O88" s="197"/>
      <c r="P88" s="22"/>
      <c r="Q88" s="22">
        <v>28070</v>
      </c>
      <c r="R88" s="161">
        <v>12120</v>
      </c>
    </row>
    <row r="89" spans="1:18" ht="15" outlineLevel="1">
      <c r="A89" s="7" t="s">
        <v>122</v>
      </c>
      <c r="B89" s="246" t="s">
        <v>123</v>
      </c>
      <c r="C89" s="22">
        <v>40000</v>
      </c>
      <c r="D89" s="22">
        <v>3800</v>
      </c>
      <c r="E89" s="22">
        <v>43800</v>
      </c>
      <c r="F89" s="210">
        <v>43800</v>
      </c>
      <c r="G89" s="22">
        <f>IF(ISNA(VLOOKUP(A89,Agresso!$A$2:$G$118,7,FALSE)),0,(VLOOKUP(A89,Agresso!$A$2:$G$118,7,FALSE)))</f>
        <v>0</v>
      </c>
      <c r="H89" s="22">
        <f>VLOOKUP(A89,Profiles!$A:$F,6,FALSE)</f>
        <v>0</v>
      </c>
      <c r="I89" s="22">
        <f t="shared" si="9"/>
        <v>0</v>
      </c>
      <c r="J89" s="180">
        <f t="shared" si="10"/>
        <v>0</v>
      </c>
      <c r="K89" s="22">
        <v>43800</v>
      </c>
      <c r="L89" s="22">
        <f t="shared" si="11"/>
        <v>0</v>
      </c>
      <c r="M89" s="22"/>
      <c r="N89" s="238"/>
      <c r="O89" s="197"/>
      <c r="P89" s="22"/>
      <c r="Q89" s="22">
        <v>18760</v>
      </c>
      <c r="R89" s="161"/>
    </row>
    <row r="90" spans="1:18" ht="15" outlineLevel="1">
      <c r="A90" s="7" t="s">
        <v>124</v>
      </c>
      <c r="B90" s="246" t="s">
        <v>125</v>
      </c>
      <c r="C90" s="22">
        <v>470000</v>
      </c>
      <c r="D90" s="22">
        <v>-9700</v>
      </c>
      <c r="E90" s="22">
        <v>460300</v>
      </c>
      <c r="F90" s="210">
        <v>460300</v>
      </c>
      <c r="G90" s="22">
        <f>IF(ISNA(VLOOKUP(A90,Agresso!$A$2:$G$118,7,FALSE)),0,(VLOOKUP(A90,Agresso!$A$2:$G$118,7,FALSE)))</f>
        <v>124376.48</v>
      </c>
      <c r="H90" s="22">
        <f>VLOOKUP(A90,Profiles!$A:$F,6,FALSE)</f>
        <v>125000</v>
      </c>
      <c r="I90" s="22">
        <f t="shared" si="9"/>
        <v>-623.5200000000041</v>
      </c>
      <c r="J90" s="180">
        <f t="shared" si="10"/>
        <v>0.2702074299369976</v>
      </c>
      <c r="K90" s="22">
        <v>460300</v>
      </c>
      <c r="L90" s="22">
        <f t="shared" si="11"/>
        <v>0</v>
      </c>
      <c r="M90" s="22"/>
      <c r="N90" s="238"/>
      <c r="O90" s="197"/>
      <c r="P90" s="22">
        <v>805000</v>
      </c>
      <c r="Q90" s="22">
        <v>75000</v>
      </c>
      <c r="R90" s="161"/>
    </row>
    <row r="91" spans="1:18" ht="15" outlineLevel="1">
      <c r="A91" s="7" t="s">
        <v>126</v>
      </c>
      <c r="B91" s="246" t="s">
        <v>127</v>
      </c>
      <c r="C91" s="22">
        <v>40000</v>
      </c>
      <c r="D91" s="22">
        <v>14600</v>
      </c>
      <c r="E91" s="22">
        <v>54600</v>
      </c>
      <c r="F91" s="210">
        <v>54600</v>
      </c>
      <c r="G91" s="22">
        <f>IF(ISNA(VLOOKUP(A91,Agresso!$A$2:$G$118,7,FALSE)),0,(VLOOKUP(A91,Agresso!$A$2:$G$118,7,FALSE)))</f>
        <v>0</v>
      </c>
      <c r="H91" s="22">
        <f>VLOOKUP(A91,Profiles!$A:$F,6,FALSE)</f>
        <v>0</v>
      </c>
      <c r="I91" s="22">
        <f t="shared" si="9"/>
        <v>0</v>
      </c>
      <c r="J91" s="180">
        <f t="shared" si="10"/>
        <v>0</v>
      </c>
      <c r="K91" s="22">
        <v>54600</v>
      </c>
      <c r="L91" s="22">
        <f t="shared" si="11"/>
        <v>0</v>
      </c>
      <c r="M91" s="22"/>
      <c r="N91" s="238"/>
      <c r="O91" s="197"/>
      <c r="P91" s="22">
        <v>40000</v>
      </c>
      <c r="Q91" s="22"/>
      <c r="R91" s="161"/>
    </row>
    <row r="92" spans="1:18" ht="15" outlineLevel="1">
      <c r="A92" s="7" t="s">
        <v>128</v>
      </c>
      <c r="B92" s="246" t="s">
        <v>129</v>
      </c>
      <c r="C92" s="22">
        <v>225000</v>
      </c>
      <c r="D92" s="22">
        <v>-53000</v>
      </c>
      <c r="E92" s="22">
        <v>172000</v>
      </c>
      <c r="F92" s="210">
        <v>172000</v>
      </c>
      <c r="G92" s="22">
        <f>IF(ISNA(VLOOKUP(A92,Agresso!$A$2:$G$118,7,FALSE)),0,(VLOOKUP(A92,Agresso!$A$2:$G$118,7,FALSE)))</f>
        <v>76854.7</v>
      </c>
      <c r="H92" s="22">
        <f>VLOOKUP(A92,Profiles!$A:$F,6,FALSE)</f>
        <v>72000</v>
      </c>
      <c r="I92" s="22">
        <f t="shared" si="9"/>
        <v>4854.699999999997</v>
      </c>
      <c r="J92" s="180">
        <f t="shared" si="10"/>
        <v>0.44682965116279066</v>
      </c>
      <c r="K92" s="22">
        <v>172000</v>
      </c>
      <c r="L92" s="22">
        <f t="shared" si="11"/>
        <v>0</v>
      </c>
      <c r="M92" s="22"/>
      <c r="N92" s="238"/>
      <c r="O92" s="197"/>
      <c r="P92" s="22">
        <v>150000</v>
      </c>
      <c r="Q92" s="22"/>
      <c r="R92" s="161"/>
    </row>
    <row r="93" spans="1:18" ht="15" outlineLevel="1">
      <c r="A93" s="7" t="s">
        <v>130</v>
      </c>
      <c r="B93" s="246" t="s">
        <v>131</v>
      </c>
      <c r="C93" s="22"/>
      <c r="D93" s="22">
        <v>47000</v>
      </c>
      <c r="E93" s="22">
        <v>47000</v>
      </c>
      <c r="F93" s="210">
        <v>47000</v>
      </c>
      <c r="G93" s="22">
        <f>IF(ISNA(VLOOKUP(A93,Agresso!$A$2:$G$118,7,FALSE)),0,(VLOOKUP(A93,Agresso!$A$2:$G$118,7,FALSE)))</f>
        <v>50719</v>
      </c>
      <c r="H93" s="22">
        <f>VLOOKUP(A93,Profiles!$A:$F,6,FALSE)</f>
        <v>47000</v>
      </c>
      <c r="I93" s="22">
        <f t="shared" si="9"/>
        <v>3719</v>
      </c>
      <c r="J93" s="180">
        <f t="shared" si="10"/>
        <v>1.079127659574468</v>
      </c>
      <c r="K93" s="22">
        <v>50719</v>
      </c>
      <c r="L93" s="22">
        <f t="shared" si="11"/>
        <v>3719</v>
      </c>
      <c r="M93" s="22"/>
      <c r="N93" s="238">
        <f>L93</f>
        <v>3719</v>
      </c>
      <c r="O93" s="197"/>
      <c r="P93" s="22"/>
      <c r="Q93" s="22"/>
      <c r="R93" s="161"/>
    </row>
    <row r="94" spans="1:18" ht="15" outlineLevel="1">
      <c r="A94" s="7"/>
      <c r="B94" s="246" t="s">
        <v>593</v>
      </c>
      <c r="C94" s="22"/>
      <c r="D94" s="22"/>
      <c r="E94" s="22"/>
      <c r="F94" s="210"/>
      <c r="G94" s="22"/>
      <c r="H94" s="22"/>
      <c r="I94" s="22"/>
      <c r="J94" s="180"/>
      <c r="K94" s="22"/>
      <c r="L94" s="22"/>
      <c r="M94" s="22"/>
      <c r="N94" s="238"/>
      <c r="O94" s="197"/>
      <c r="P94" s="22">
        <v>9200</v>
      </c>
      <c r="Q94" s="22"/>
      <c r="R94" s="161"/>
    </row>
    <row r="95" spans="1:18" ht="15" outlineLevel="1">
      <c r="A95" s="7"/>
      <c r="B95" s="248"/>
      <c r="C95" s="22"/>
      <c r="D95" s="22"/>
      <c r="E95" s="22"/>
      <c r="F95" s="210"/>
      <c r="G95" s="22"/>
      <c r="H95" s="22"/>
      <c r="I95" s="22"/>
      <c r="J95" s="180"/>
      <c r="K95" s="22"/>
      <c r="L95" s="22"/>
      <c r="M95" s="22"/>
      <c r="N95" s="238"/>
      <c r="O95" s="197"/>
      <c r="P95" s="22"/>
      <c r="Q95" s="22"/>
      <c r="R95" s="161"/>
    </row>
    <row r="96" spans="1:18" ht="15" outlineLevel="1">
      <c r="A96" s="7"/>
      <c r="B96" s="243" t="s">
        <v>134</v>
      </c>
      <c r="C96" s="22"/>
      <c r="D96" s="22"/>
      <c r="E96" s="22"/>
      <c r="F96" s="210"/>
      <c r="G96" s="22"/>
      <c r="H96" s="22"/>
      <c r="I96" s="22"/>
      <c r="J96" s="180"/>
      <c r="K96" s="22"/>
      <c r="L96" s="22"/>
      <c r="M96" s="22"/>
      <c r="N96" s="238"/>
      <c r="O96" s="197"/>
      <c r="P96" s="22"/>
      <c r="Q96" s="22"/>
      <c r="R96" s="161"/>
    </row>
    <row r="97" spans="1:18" ht="15" outlineLevel="1">
      <c r="A97" s="7" t="s">
        <v>135</v>
      </c>
      <c r="B97" s="246" t="s">
        <v>136</v>
      </c>
      <c r="C97" s="22">
        <v>417702</v>
      </c>
      <c r="D97" s="22">
        <v>7778</v>
      </c>
      <c r="E97" s="22">
        <v>425480</v>
      </c>
      <c r="F97" s="210">
        <f>E97-90000</f>
        <v>335480</v>
      </c>
      <c r="G97" s="22">
        <f>IF(ISNA(VLOOKUP(A97,Agresso!$A$2:$G$118,7,FALSE)),0,(VLOOKUP(A97,Agresso!$A$2:$G$118,7,FALSE)))</f>
        <v>29503.92</v>
      </c>
      <c r="H97" s="22">
        <f>VLOOKUP(A97,Profiles!$A:$F,6,FALSE)</f>
        <v>30000</v>
      </c>
      <c r="I97" s="22">
        <f>G97-H97</f>
        <v>-496.08000000000175</v>
      </c>
      <c r="J97" s="180">
        <f>G97/E97</f>
        <v>0.06934267180596032</v>
      </c>
      <c r="K97" s="22">
        <v>335480</v>
      </c>
      <c r="L97" s="22">
        <f>K97-F97</f>
        <v>0</v>
      </c>
      <c r="M97" s="22"/>
      <c r="N97" s="238"/>
      <c r="O97" s="197"/>
      <c r="P97" s="22">
        <v>280000</v>
      </c>
      <c r="Q97" s="22">
        <v>55000</v>
      </c>
      <c r="R97" s="161">
        <v>50000</v>
      </c>
    </row>
    <row r="98" spans="1:18" ht="15" outlineLevel="1">
      <c r="A98" s="7" t="s">
        <v>141</v>
      </c>
      <c r="B98" s="246" t="s">
        <v>142</v>
      </c>
      <c r="C98" s="22">
        <v>300000</v>
      </c>
      <c r="D98" s="22">
        <v>33000</v>
      </c>
      <c r="E98" s="22">
        <v>333000</v>
      </c>
      <c r="F98" s="210">
        <v>333000</v>
      </c>
      <c r="G98" s="22">
        <f>IF(ISNA(VLOOKUP(A98,Agresso!$A$2:$G$118,7,FALSE)),0,(VLOOKUP(A98,Agresso!$A$2:$G$118,7,FALSE)))</f>
        <v>304.69</v>
      </c>
      <c r="H98" s="22">
        <f>VLOOKUP(A98,Profiles!$A:$F,6,FALSE)</f>
        <v>0</v>
      </c>
      <c r="I98" s="22">
        <f>G98-H98</f>
        <v>304.69</v>
      </c>
      <c r="J98" s="180">
        <f>G98/E98</f>
        <v>0.0009149849849849849</v>
      </c>
      <c r="K98" s="22">
        <v>333000</v>
      </c>
      <c r="L98" s="22">
        <f>K98-F98</f>
        <v>0</v>
      </c>
      <c r="M98" s="22"/>
      <c r="N98" s="238"/>
      <c r="O98" s="197"/>
      <c r="P98" s="22"/>
      <c r="Q98" s="22"/>
      <c r="R98" s="161"/>
    </row>
    <row r="99" spans="1:18" ht="25.5" outlineLevel="1">
      <c r="A99" s="11" t="s">
        <v>341</v>
      </c>
      <c r="B99" s="237" t="s">
        <v>447</v>
      </c>
      <c r="C99" s="22">
        <v>200000</v>
      </c>
      <c r="D99" s="22"/>
      <c r="E99" s="22">
        <v>200000</v>
      </c>
      <c r="F99" s="210">
        <v>200000</v>
      </c>
      <c r="G99" s="22">
        <f>IF(ISNA(VLOOKUP(A99,Agresso!$A$2:$G$118,7,FALSE)),0,(VLOOKUP(A99,Agresso!$A$2:$G$118,7,FALSE)))</f>
        <v>3275.13</v>
      </c>
      <c r="H99" s="22">
        <f>VLOOKUP(A99,Profiles!$A:$F,6,FALSE)</f>
        <v>4000</v>
      </c>
      <c r="I99" s="22">
        <f>G99-H99</f>
        <v>-724.8699999999999</v>
      </c>
      <c r="J99" s="180">
        <f>G99/E99</f>
        <v>0.016375650000000002</v>
      </c>
      <c r="K99" s="22">
        <v>200000</v>
      </c>
      <c r="L99" s="22">
        <f>K99-F99</f>
        <v>0</v>
      </c>
      <c r="M99" s="22"/>
      <c r="N99" s="238"/>
      <c r="O99" s="197" t="s">
        <v>724</v>
      </c>
      <c r="P99" s="22">
        <v>50000</v>
      </c>
      <c r="Q99" s="22"/>
      <c r="R99" s="161"/>
    </row>
    <row r="100" spans="1:18" ht="15" outlineLevel="1">
      <c r="A100" s="12" t="s">
        <v>741</v>
      </c>
      <c r="B100" s="237" t="s">
        <v>693</v>
      </c>
      <c r="C100" s="22">
        <v>200000</v>
      </c>
      <c r="D100" s="22"/>
      <c r="E100" s="22">
        <v>200000</v>
      </c>
      <c r="F100" s="210">
        <v>0</v>
      </c>
      <c r="G100" s="22">
        <f>IF(ISNA(VLOOKUP(A100,Agresso!$A$2:$G$118,7,FALSE)),0,(VLOOKUP(A100,Agresso!$A$2:$G$118,7,FALSE)))</f>
        <v>0</v>
      </c>
      <c r="H100" s="22">
        <v>0</v>
      </c>
      <c r="I100" s="22">
        <f>G100-H100</f>
        <v>0</v>
      </c>
      <c r="J100" s="180">
        <f>G100/E100</f>
        <v>0</v>
      </c>
      <c r="K100" s="22">
        <v>0</v>
      </c>
      <c r="L100" s="22">
        <f>K100-F100</f>
        <v>0</v>
      </c>
      <c r="M100" s="22"/>
      <c r="N100" s="238"/>
      <c r="O100" s="197"/>
      <c r="P100" s="22"/>
      <c r="Q100" s="22"/>
      <c r="R100" s="161"/>
    </row>
    <row r="101" spans="1:18" ht="15" outlineLevel="1">
      <c r="A101" s="11"/>
      <c r="B101" s="237"/>
      <c r="C101" s="22"/>
      <c r="D101" s="22"/>
      <c r="E101" s="22"/>
      <c r="F101" s="210"/>
      <c r="G101" s="22"/>
      <c r="H101" s="22"/>
      <c r="I101" s="22"/>
      <c r="J101" s="180"/>
      <c r="K101" s="22"/>
      <c r="L101" s="22"/>
      <c r="M101" s="22"/>
      <c r="N101" s="238"/>
      <c r="O101" s="197"/>
      <c r="P101" s="22"/>
      <c r="Q101" s="22"/>
      <c r="R101" s="161"/>
    </row>
    <row r="102" spans="1:18" ht="15" outlineLevel="1">
      <c r="A102" s="11" t="s">
        <v>337</v>
      </c>
      <c r="B102" s="237" t="s">
        <v>441</v>
      </c>
      <c r="C102" s="22">
        <v>125000</v>
      </c>
      <c r="D102" s="22"/>
      <c r="E102" s="22">
        <v>125000</v>
      </c>
      <c r="F102" s="210">
        <v>125000</v>
      </c>
      <c r="G102" s="22">
        <f>IF(ISNA(VLOOKUP(A102,Agresso!$A$2:$G$118,7,FALSE)),0,(VLOOKUP(A102,Agresso!$A$2:$G$118,7,FALSE)))</f>
        <v>16625.3</v>
      </c>
      <c r="H102" s="22">
        <f>VLOOKUP(A102,Profiles!$A:$F,6,FALSE)</f>
        <v>17000</v>
      </c>
      <c r="I102" s="22">
        <f>G102-H102</f>
        <v>-374.7000000000007</v>
      </c>
      <c r="J102" s="180">
        <f>G102/E102</f>
        <v>0.1330024</v>
      </c>
      <c r="K102" s="22">
        <v>125000</v>
      </c>
      <c r="L102" s="22">
        <f>K102-F102</f>
        <v>0</v>
      </c>
      <c r="M102" s="22"/>
      <c r="N102" s="238"/>
      <c r="O102" s="197"/>
      <c r="P102" s="22">
        <v>125000</v>
      </c>
      <c r="Q102" s="22"/>
      <c r="R102" s="161"/>
    </row>
    <row r="103" spans="1:18" ht="15" outlineLevel="1">
      <c r="A103" s="7" t="s">
        <v>18</v>
      </c>
      <c r="B103" s="239"/>
      <c r="C103" s="22"/>
      <c r="D103" s="22"/>
      <c r="E103" s="22"/>
      <c r="F103" s="210"/>
      <c r="G103" s="22"/>
      <c r="H103" s="22"/>
      <c r="I103" s="22"/>
      <c r="J103" s="180"/>
      <c r="K103" s="22"/>
      <c r="L103" s="22"/>
      <c r="M103" s="22"/>
      <c r="N103" s="238"/>
      <c r="O103" s="197"/>
      <c r="P103" s="22"/>
      <c r="Q103" s="22"/>
      <c r="R103" s="161"/>
    </row>
    <row r="104" spans="1:18" ht="15">
      <c r="A104" s="7" t="s">
        <v>143</v>
      </c>
      <c r="B104" s="240" t="s">
        <v>466</v>
      </c>
      <c r="C104" s="18">
        <f>SUM(C48:C103)</f>
        <v>7203921</v>
      </c>
      <c r="D104" s="18">
        <v>481087.42</v>
      </c>
      <c r="E104" s="18">
        <f>SUM(E48:E103)</f>
        <v>7685008.42</v>
      </c>
      <c r="F104" s="211">
        <f>SUM(F48:F103)</f>
        <v>5605008</v>
      </c>
      <c r="G104" s="18">
        <f>SUM(G48:G103)</f>
        <v>537435.87</v>
      </c>
      <c r="H104" s="18">
        <f>SUM(H48:H103)</f>
        <v>509940</v>
      </c>
      <c r="I104" s="18">
        <f>SUM(I48:I103)</f>
        <v>27495.86999999999</v>
      </c>
      <c r="J104" s="2">
        <f>G104/E104</f>
        <v>0.06993302292309005</v>
      </c>
      <c r="K104" s="18">
        <f>SUM(K48:K103)</f>
        <v>5480449.42</v>
      </c>
      <c r="L104" s="18">
        <f>SUM(L48:L103)</f>
        <v>-124558.58</v>
      </c>
      <c r="M104" s="18">
        <f>SUM(M48:M103)</f>
        <v>-128278</v>
      </c>
      <c r="N104" s="241">
        <f>SUM(N48:N103)</f>
        <v>3718.929999999993</v>
      </c>
      <c r="O104" s="198"/>
      <c r="P104" s="18">
        <f>SUM(P48:P103)</f>
        <v>5330920</v>
      </c>
      <c r="Q104" s="18">
        <f>SUM(Q48:Q103)</f>
        <v>1160000</v>
      </c>
      <c r="R104" s="21">
        <f>SUM(R48:R103)</f>
        <v>850000</v>
      </c>
    </row>
    <row r="105" spans="1:18" ht="15">
      <c r="A105" s="7" t="s">
        <v>18</v>
      </c>
      <c r="B105" s="243"/>
      <c r="C105" s="19"/>
      <c r="D105" s="19"/>
      <c r="E105" s="19"/>
      <c r="F105" s="212"/>
      <c r="G105" s="19"/>
      <c r="H105" s="19"/>
      <c r="I105" s="19"/>
      <c r="J105" s="181"/>
      <c r="K105" s="19"/>
      <c r="L105" s="19"/>
      <c r="M105" s="19"/>
      <c r="N105" s="244"/>
      <c r="O105" s="199"/>
      <c r="P105" s="19"/>
      <c r="Q105" s="19"/>
      <c r="R105" s="162"/>
    </row>
    <row r="106" spans="1:18" ht="15" outlineLevel="1">
      <c r="A106" s="7" t="s">
        <v>145</v>
      </c>
      <c r="B106" s="239" t="s">
        <v>146</v>
      </c>
      <c r="C106" s="22"/>
      <c r="D106" s="22">
        <v>11288</v>
      </c>
      <c r="E106" s="22">
        <v>11288</v>
      </c>
      <c r="F106" s="210">
        <v>11288</v>
      </c>
      <c r="G106" s="22">
        <f>IF(ISNA(VLOOKUP(A106,Agresso!$A$2:$G$118,7,FALSE)),0,(VLOOKUP(A106,Agresso!$A$2:$G$118,7,FALSE)))</f>
        <v>0</v>
      </c>
      <c r="H106" s="22">
        <f>VLOOKUP(A106,Profiles!$A:$F,6,FALSE)</f>
        <v>0</v>
      </c>
      <c r="I106" s="22">
        <f>G106-H106</f>
        <v>0</v>
      </c>
      <c r="J106" s="180">
        <f>G106/E106</f>
        <v>0</v>
      </c>
      <c r="K106" s="22">
        <v>11288</v>
      </c>
      <c r="L106" s="22">
        <f>K106-F106</f>
        <v>0</v>
      </c>
      <c r="M106" s="22"/>
      <c r="N106" s="238"/>
      <c r="O106" s="197"/>
      <c r="P106" s="22"/>
      <c r="Q106" s="22"/>
      <c r="R106" s="161"/>
    </row>
    <row r="107" spans="1:18" ht="15" outlineLevel="1">
      <c r="A107" s="7" t="s">
        <v>147</v>
      </c>
      <c r="B107" s="245" t="s">
        <v>148</v>
      </c>
      <c r="C107" s="22"/>
      <c r="D107" s="22">
        <v>115670</v>
      </c>
      <c r="E107" s="22">
        <v>115670</v>
      </c>
      <c r="F107" s="210">
        <v>115670</v>
      </c>
      <c r="G107" s="22">
        <f>IF(ISNA(VLOOKUP(A107,Agresso!$A$2:$G$118,7,FALSE)),0,(VLOOKUP(A107,Agresso!$A$2:$G$118,7,FALSE)))</f>
        <v>0</v>
      </c>
      <c r="H107" s="22">
        <f>VLOOKUP(A107,Profiles!$A:$F,6,FALSE)</f>
        <v>0</v>
      </c>
      <c r="I107" s="22">
        <f>G107-H107</f>
        <v>0</v>
      </c>
      <c r="J107" s="180">
        <f>G107/E107</f>
        <v>0</v>
      </c>
      <c r="K107" s="22">
        <v>115670</v>
      </c>
      <c r="L107" s="22">
        <f>K107-F107</f>
        <v>0</v>
      </c>
      <c r="M107" s="22"/>
      <c r="N107" s="238"/>
      <c r="O107" s="197"/>
      <c r="P107" s="22"/>
      <c r="Q107" s="22"/>
      <c r="R107" s="161"/>
    </row>
    <row r="108" spans="1:18" ht="15" outlineLevel="1">
      <c r="A108" s="7" t="s">
        <v>18</v>
      </c>
      <c r="B108" s="245"/>
      <c r="C108" s="22"/>
      <c r="D108" s="22">
        <v>0</v>
      </c>
      <c r="E108" s="22"/>
      <c r="F108" s="210"/>
      <c r="G108" s="22"/>
      <c r="H108" s="22"/>
      <c r="I108" s="22"/>
      <c r="J108" s="180"/>
      <c r="K108" s="22"/>
      <c r="L108" s="22"/>
      <c r="M108" s="22"/>
      <c r="N108" s="238"/>
      <c r="O108" s="197"/>
      <c r="P108" s="22"/>
      <c r="Q108" s="22"/>
      <c r="R108" s="161"/>
    </row>
    <row r="109" spans="1:18" ht="15">
      <c r="A109" s="7" t="s">
        <v>149</v>
      </c>
      <c r="B109" s="240" t="s">
        <v>150</v>
      </c>
      <c r="C109" s="18">
        <f>SUM(C106:C107)</f>
        <v>0</v>
      </c>
      <c r="D109" s="18">
        <v>126958</v>
      </c>
      <c r="E109" s="18">
        <f>SUM(E106:E107)</f>
        <v>126958</v>
      </c>
      <c r="F109" s="211">
        <f>SUM(F106:F107)</f>
        <v>126958</v>
      </c>
      <c r="G109" s="18">
        <f>SUM(G106:G107)</f>
        <v>0</v>
      </c>
      <c r="H109" s="18">
        <f>SUM(H106:H107)</f>
        <v>0</v>
      </c>
      <c r="I109" s="18">
        <f>SUM(I106:I107)</f>
        <v>0</v>
      </c>
      <c r="J109" s="2">
        <f>G109/E109</f>
        <v>0</v>
      </c>
      <c r="K109" s="18">
        <f>SUM(K106:K107)</f>
        <v>126958</v>
      </c>
      <c r="L109" s="18">
        <f>SUM(L106:L107)</f>
        <v>0</v>
      </c>
      <c r="M109" s="18"/>
      <c r="N109" s="241"/>
      <c r="O109" s="198"/>
      <c r="P109" s="18">
        <f>SUM(P106:P107)</f>
        <v>0</v>
      </c>
      <c r="Q109" s="18">
        <f>SUM(Q106:Q107)</f>
        <v>0</v>
      </c>
      <c r="R109" s="21">
        <f>SUM(R106:R107)</f>
        <v>0</v>
      </c>
    </row>
    <row r="110" spans="1:18" ht="15">
      <c r="A110" s="7" t="s">
        <v>18</v>
      </c>
      <c r="B110" s="243"/>
      <c r="C110" s="19"/>
      <c r="D110" s="19"/>
      <c r="E110" s="19"/>
      <c r="F110" s="212"/>
      <c r="G110" s="19"/>
      <c r="H110" s="19"/>
      <c r="I110" s="19"/>
      <c r="J110" s="181"/>
      <c r="K110" s="19"/>
      <c r="L110" s="19"/>
      <c r="M110" s="19"/>
      <c r="N110" s="244"/>
      <c r="O110" s="199"/>
      <c r="P110" s="19"/>
      <c r="Q110" s="19"/>
      <c r="R110" s="162"/>
    </row>
    <row r="111" spans="1:18" ht="15" outlineLevel="1">
      <c r="A111" s="7" t="s">
        <v>151</v>
      </c>
      <c r="B111" s="239" t="s">
        <v>152</v>
      </c>
      <c r="C111" s="22"/>
      <c r="D111" s="22"/>
      <c r="E111" s="22"/>
      <c r="F111" s="210">
        <v>18146</v>
      </c>
      <c r="G111" s="22">
        <f>IF(ISNA(VLOOKUP(A111,Agresso!$A$2:$G$118,7,FALSE)),0,(VLOOKUP(A111,Agresso!$A$2:$G$118,7,FALSE)))</f>
        <v>2291.24</v>
      </c>
      <c r="H111" s="22">
        <f>VLOOKUP(A111,Profiles!$A:$F,6,FALSE)</f>
        <v>4536.5</v>
      </c>
      <c r="I111" s="22">
        <f>G111-H111</f>
        <v>-2245.26</v>
      </c>
      <c r="J111" s="180">
        <v>0</v>
      </c>
      <c r="K111" s="22">
        <v>18146</v>
      </c>
      <c r="L111" s="22">
        <f aca="true" t="shared" si="12" ref="L111:L126">K111-F111</f>
        <v>0</v>
      </c>
      <c r="M111" s="22"/>
      <c r="N111" s="238"/>
      <c r="O111" s="197"/>
      <c r="P111" s="22"/>
      <c r="Q111" s="22"/>
      <c r="R111" s="161"/>
    </row>
    <row r="112" spans="1:18" ht="15" outlineLevel="1">
      <c r="A112" s="7" t="s">
        <v>153</v>
      </c>
      <c r="B112" s="239" t="s">
        <v>154</v>
      </c>
      <c r="C112" s="22">
        <v>92587</v>
      </c>
      <c r="D112" s="22"/>
      <c r="E112" s="22">
        <v>92587</v>
      </c>
      <c r="F112" s="210">
        <v>74441</v>
      </c>
      <c r="G112" s="22">
        <f>IF(ISNA(VLOOKUP(A112,Agresso!$A$2:$G$118,7,FALSE)),0,(VLOOKUP(A112,Agresso!$A$2:$G$118,7,FALSE)))</f>
        <v>0</v>
      </c>
      <c r="H112" s="22">
        <f>VLOOKUP(A112,Profiles!$A:$F,6,FALSE)</f>
        <v>0</v>
      </c>
      <c r="I112" s="22">
        <f>G112-H112</f>
        <v>0</v>
      </c>
      <c r="J112" s="180">
        <f aca="true" t="shared" si="13" ref="J112:J126">G112/E112</f>
        <v>0</v>
      </c>
      <c r="K112" s="22">
        <v>74441</v>
      </c>
      <c r="L112" s="22">
        <f t="shared" si="12"/>
        <v>0</v>
      </c>
      <c r="M112" s="22"/>
      <c r="N112" s="238"/>
      <c r="O112" s="197"/>
      <c r="P112" s="22"/>
      <c r="Q112" s="22"/>
      <c r="R112" s="161"/>
    </row>
    <row r="113" spans="1:18" ht="15" outlineLevel="1">
      <c r="A113" s="7" t="s">
        <v>18</v>
      </c>
      <c r="B113" s="239"/>
      <c r="C113" s="22"/>
      <c r="D113" s="22"/>
      <c r="E113" s="22"/>
      <c r="F113" s="210"/>
      <c r="G113" s="22"/>
      <c r="H113" s="22"/>
      <c r="I113" s="22">
        <f>G113-H113</f>
        <v>0</v>
      </c>
      <c r="J113" s="180"/>
      <c r="K113" s="22"/>
      <c r="L113" s="22"/>
      <c r="M113" s="22"/>
      <c r="N113" s="238"/>
      <c r="O113" s="197"/>
      <c r="P113" s="22"/>
      <c r="Q113" s="22"/>
      <c r="R113" s="161"/>
    </row>
    <row r="114" spans="1:18" ht="38.25" outlineLevel="1">
      <c r="A114" s="7" t="s">
        <v>155</v>
      </c>
      <c r="B114" s="237" t="s">
        <v>156</v>
      </c>
      <c r="C114" s="22">
        <v>7560254</v>
      </c>
      <c r="D114" s="22">
        <v>646</v>
      </c>
      <c r="E114" s="22">
        <v>7560900</v>
      </c>
      <c r="F114" s="210">
        <v>4060900</v>
      </c>
      <c r="G114" s="22">
        <f>IF(ISNA(VLOOKUP(A114,Agresso!$A$2:$G$118,7,FALSE)),0,(VLOOKUP(A114,Agresso!$A$2:$G$118,7,FALSE)))</f>
        <v>2085</v>
      </c>
      <c r="H114" s="22">
        <f>VLOOKUP(A114,Profiles!$A:$F,6,FALSE)</f>
        <v>2090</v>
      </c>
      <c r="I114" s="22">
        <f>G114-H114</f>
        <v>-5</v>
      </c>
      <c r="J114" s="180">
        <f t="shared" si="13"/>
        <v>0.00027576082212435026</v>
      </c>
      <c r="K114" s="22">
        <f>E114-3500000</f>
        <v>4060900</v>
      </c>
      <c r="L114" s="22">
        <f t="shared" si="12"/>
        <v>0</v>
      </c>
      <c r="M114" s="22"/>
      <c r="N114" s="238"/>
      <c r="O114" s="197" t="s">
        <v>731</v>
      </c>
      <c r="P114" s="22"/>
      <c r="Q114" s="22"/>
      <c r="R114" s="161"/>
    </row>
    <row r="115" spans="1:18" ht="15" outlineLevel="1">
      <c r="A115" s="7"/>
      <c r="B115" s="237"/>
      <c r="C115" s="22"/>
      <c r="D115" s="22"/>
      <c r="E115" s="22"/>
      <c r="F115" s="210"/>
      <c r="G115" s="22"/>
      <c r="H115" s="22"/>
      <c r="I115" s="22"/>
      <c r="J115" s="180"/>
      <c r="K115" s="22"/>
      <c r="L115" s="22"/>
      <c r="M115" s="22"/>
      <c r="N115" s="238"/>
      <c r="O115" s="197"/>
      <c r="P115" s="22"/>
      <c r="Q115" s="22"/>
      <c r="R115" s="161"/>
    </row>
    <row r="116" spans="1:18" ht="15" outlineLevel="1">
      <c r="A116" s="7" t="s">
        <v>160</v>
      </c>
      <c r="B116" s="237" t="s">
        <v>161</v>
      </c>
      <c r="C116" s="22">
        <v>400000</v>
      </c>
      <c r="D116" s="22">
        <v>47250</v>
      </c>
      <c r="E116" s="22">
        <v>447250</v>
      </c>
      <c r="F116" s="210">
        <v>447250</v>
      </c>
      <c r="G116" s="22">
        <f>IF(ISNA(VLOOKUP(A116,Agresso!$A$2:$G$118,7,FALSE)),0,(VLOOKUP(A116,Agresso!$A$2:$G$118,7,FALSE)))</f>
        <v>0</v>
      </c>
      <c r="H116" s="22">
        <f>VLOOKUP(A116,Profiles!$A:$F,6,FALSE)</f>
        <v>0</v>
      </c>
      <c r="I116" s="22">
        <f aca="true" t="shared" si="14" ref="I116:I126">G116-H116</f>
        <v>0</v>
      </c>
      <c r="J116" s="180">
        <f t="shared" si="13"/>
        <v>0</v>
      </c>
      <c r="K116" s="22">
        <f>E116</f>
        <v>447250</v>
      </c>
      <c r="L116" s="22">
        <f t="shared" si="12"/>
        <v>0</v>
      </c>
      <c r="M116" s="22"/>
      <c r="N116" s="238"/>
      <c r="O116" s="197"/>
      <c r="P116" s="22"/>
      <c r="Q116" s="22"/>
      <c r="R116" s="161"/>
    </row>
    <row r="117" spans="1:18" ht="38.25" outlineLevel="1">
      <c r="A117" s="7" t="s">
        <v>162</v>
      </c>
      <c r="B117" s="239" t="s">
        <v>163</v>
      </c>
      <c r="C117" s="22">
        <v>1000000</v>
      </c>
      <c r="D117" s="22"/>
      <c r="E117" s="22">
        <v>1000000</v>
      </c>
      <c r="F117" s="210">
        <v>100000</v>
      </c>
      <c r="G117" s="22">
        <f>IF(ISNA(VLOOKUP(A117,Agresso!$A$2:$G$118,7,FALSE)),0,(VLOOKUP(A117,Agresso!$A$2:$G$118,7,FALSE)))</f>
        <v>0</v>
      </c>
      <c r="H117" s="22">
        <f>VLOOKUP(A117,Profiles!$A:$F,6,FALSE)</f>
        <v>0</v>
      </c>
      <c r="I117" s="22">
        <f t="shared" si="14"/>
        <v>0</v>
      </c>
      <c r="J117" s="180">
        <f t="shared" si="13"/>
        <v>0</v>
      </c>
      <c r="K117" s="22">
        <f>100000</f>
        <v>100000</v>
      </c>
      <c r="L117" s="22">
        <f t="shared" si="12"/>
        <v>0</v>
      </c>
      <c r="M117" s="22"/>
      <c r="N117" s="238"/>
      <c r="O117" s="197" t="s">
        <v>726</v>
      </c>
      <c r="P117" s="22"/>
      <c r="Q117" s="22"/>
      <c r="R117" s="161"/>
    </row>
    <row r="118" spans="1:18" ht="15" outlineLevel="1">
      <c r="A118" s="7" t="s">
        <v>164</v>
      </c>
      <c r="B118" s="237" t="s">
        <v>165</v>
      </c>
      <c r="C118" s="22">
        <v>62000</v>
      </c>
      <c r="D118" s="22">
        <v>62000</v>
      </c>
      <c r="E118" s="22">
        <v>124000</v>
      </c>
      <c r="F118" s="210">
        <v>124000</v>
      </c>
      <c r="G118" s="22">
        <f>IF(ISNA(VLOOKUP(A118,Agresso!$A$2:$G$118,7,FALSE)),0,(VLOOKUP(A118,Agresso!$A$2:$G$118,7,FALSE)))</f>
        <v>0</v>
      </c>
      <c r="H118" s="22">
        <f>VLOOKUP(A118,Profiles!$A:$F,6,FALSE)</f>
        <v>0</v>
      </c>
      <c r="I118" s="22">
        <f t="shared" si="14"/>
        <v>0</v>
      </c>
      <c r="J118" s="180">
        <f t="shared" si="13"/>
        <v>0</v>
      </c>
      <c r="K118" s="22">
        <f aca="true" t="shared" si="15" ref="K118:K126">E118</f>
        <v>124000</v>
      </c>
      <c r="L118" s="22">
        <f t="shared" si="12"/>
        <v>0</v>
      </c>
      <c r="M118" s="22"/>
      <c r="N118" s="238"/>
      <c r="O118" s="197"/>
      <c r="P118" s="22"/>
      <c r="Q118" s="22"/>
      <c r="R118" s="161"/>
    </row>
    <row r="119" spans="1:18" ht="38.25" outlineLevel="1">
      <c r="A119" s="7" t="s">
        <v>166</v>
      </c>
      <c r="B119" s="237" t="s">
        <v>167</v>
      </c>
      <c r="C119" s="22">
        <v>820000</v>
      </c>
      <c r="D119" s="22">
        <v>65800</v>
      </c>
      <c r="E119" s="22">
        <v>885800</v>
      </c>
      <c r="F119" s="210">
        <v>885800</v>
      </c>
      <c r="G119" s="22">
        <f>IF(ISNA(VLOOKUP(A119,Agresso!$A$2:$G$118,7,FALSE)),0,(VLOOKUP(A119,Agresso!$A$2:$G$118,7,FALSE)))</f>
        <v>59003.13</v>
      </c>
      <c r="H119" s="22">
        <f>VLOOKUP(A119,Profiles!$A:$F,6,FALSE)</f>
        <v>60000</v>
      </c>
      <c r="I119" s="22">
        <f t="shared" si="14"/>
        <v>-996.8700000000026</v>
      </c>
      <c r="J119" s="180">
        <f t="shared" si="13"/>
        <v>0.06660999096861593</v>
      </c>
      <c r="K119" s="22">
        <f t="shared" si="15"/>
        <v>885800</v>
      </c>
      <c r="L119" s="22">
        <f t="shared" si="12"/>
        <v>0</v>
      </c>
      <c r="M119" s="22"/>
      <c r="N119" s="238"/>
      <c r="O119" s="197" t="s">
        <v>725</v>
      </c>
      <c r="P119" s="22">
        <v>200000</v>
      </c>
      <c r="Q119" s="22"/>
      <c r="R119" s="161"/>
    </row>
    <row r="120" spans="1:18" ht="15" outlineLevel="1">
      <c r="A120" s="7" t="s">
        <v>170</v>
      </c>
      <c r="B120" s="237" t="s">
        <v>171</v>
      </c>
      <c r="C120" s="22">
        <v>60000</v>
      </c>
      <c r="D120" s="22">
        <v>9180</v>
      </c>
      <c r="E120" s="22">
        <v>69180</v>
      </c>
      <c r="F120" s="210">
        <v>69180</v>
      </c>
      <c r="G120" s="22">
        <f>IF(ISNA(VLOOKUP(A120,Agresso!$A$2:$G$118,7,FALSE)),0,(VLOOKUP(A120,Agresso!$A$2:$G$118,7,FALSE)))</f>
        <v>0</v>
      </c>
      <c r="H120" s="22">
        <f>VLOOKUP(A120,Profiles!$A:$F,6,FALSE)</f>
        <v>0</v>
      </c>
      <c r="I120" s="22">
        <f t="shared" si="14"/>
        <v>0</v>
      </c>
      <c r="J120" s="180">
        <f t="shared" si="13"/>
        <v>0</v>
      </c>
      <c r="K120" s="22">
        <f t="shared" si="15"/>
        <v>69180</v>
      </c>
      <c r="L120" s="22">
        <f t="shared" si="12"/>
        <v>0</v>
      </c>
      <c r="M120" s="22"/>
      <c r="N120" s="238"/>
      <c r="O120" s="197"/>
      <c r="P120" s="22">
        <v>54000</v>
      </c>
      <c r="Q120" s="22">
        <v>60000</v>
      </c>
      <c r="R120" s="161"/>
    </row>
    <row r="121" spans="1:18" ht="15" outlineLevel="1">
      <c r="A121" s="7" t="s">
        <v>172</v>
      </c>
      <c r="B121" s="237" t="s">
        <v>173</v>
      </c>
      <c r="C121" s="22">
        <v>48000</v>
      </c>
      <c r="D121" s="22">
        <v>15170</v>
      </c>
      <c r="E121" s="22">
        <v>63170</v>
      </c>
      <c r="F121" s="210">
        <v>63170</v>
      </c>
      <c r="G121" s="22">
        <f>IF(ISNA(VLOOKUP(A121,Agresso!$A$2:$G$118,7,FALSE)),0,(VLOOKUP(A121,Agresso!$A$2:$G$118,7,FALSE)))</f>
        <v>-0.2</v>
      </c>
      <c r="H121" s="22">
        <f>VLOOKUP(A121,Profiles!$A:$F,6,FALSE)</f>
        <v>0</v>
      </c>
      <c r="I121" s="22">
        <f t="shared" si="14"/>
        <v>-0.2</v>
      </c>
      <c r="J121" s="180">
        <f t="shared" si="13"/>
        <v>-3.1660598385309485E-06</v>
      </c>
      <c r="K121" s="22">
        <f t="shared" si="15"/>
        <v>63170</v>
      </c>
      <c r="L121" s="22">
        <f t="shared" si="12"/>
        <v>0</v>
      </c>
      <c r="M121" s="22"/>
      <c r="N121" s="238"/>
      <c r="O121" s="197"/>
      <c r="P121" s="22">
        <v>48000</v>
      </c>
      <c r="Q121" s="22">
        <v>48000</v>
      </c>
      <c r="R121" s="161"/>
    </row>
    <row r="122" spans="1:18" ht="15" outlineLevel="1">
      <c r="A122" s="7" t="s">
        <v>292</v>
      </c>
      <c r="B122" s="237" t="s">
        <v>433</v>
      </c>
      <c r="C122" s="22">
        <v>44375</v>
      </c>
      <c r="D122" s="22"/>
      <c r="E122" s="22">
        <v>44375</v>
      </c>
      <c r="F122" s="210">
        <v>44375</v>
      </c>
      <c r="G122" s="22">
        <f>IF(ISNA(VLOOKUP(A122,Agresso!$A$2:$G$118,7,FALSE)),0,(VLOOKUP(A122,Agresso!$A$2:$G$118,7,FALSE)))</f>
        <v>0</v>
      </c>
      <c r="H122" s="22">
        <f>VLOOKUP(A122,Profiles!$A:$F,6,FALSE)</f>
        <v>0</v>
      </c>
      <c r="I122" s="22">
        <f t="shared" si="14"/>
        <v>0</v>
      </c>
      <c r="J122" s="180">
        <f t="shared" si="13"/>
        <v>0</v>
      </c>
      <c r="K122" s="22">
        <f t="shared" si="15"/>
        <v>44375</v>
      </c>
      <c r="L122" s="22">
        <f t="shared" si="12"/>
        <v>0</v>
      </c>
      <c r="M122" s="22"/>
      <c r="N122" s="238"/>
      <c r="O122" s="197"/>
      <c r="P122" s="22"/>
      <c r="Q122" s="22"/>
      <c r="R122" s="161"/>
    </row>
    <row r="123" spans="1:18" ht="15" outlineLevel="1">
      <c r="A123" s="7" t="s">
        <v>302</v>
      </c>
      <c r="B123" s="237" t="s">
        <v>434</v>
      </c>
      <c r="C123" s="22">
        <v>100000</v>
      </c>
      <c r="D123" s="22"/>
      <c r="E123" s="22">
        <v>100000</v>
      </c>
      <c r="F123" s="210">
        <v>100000</v>
      </c>
      <c r="G123" s="22">
        <f>IF(ISNA(VLOOKUP(A123,Agresso!$A$2:$G$118,7,FALSE)),0,(VLOOKUP(A123,Agresso!$A$2:$G$118,7,FALSE)))</f>
        <v>0</v>
      </c>
      <c r="H123" s="22">
        <f>VLOOKUP(A123,Profiles!$A:$F,6,FALSE)</f>
        <v>0</v>
      </c>
      <c r="I123" s="22">
        <f t="shared" si="14"/>
        <v>0</v>
      </c>
      <c r="J123" s="180">
        <f t="shared" si="13"/>
        <v>0</v>
      </c>
      <c r="K123" s="22">
        <f t="shared" si="15"/>
        <v>100000</v>
      </c>
      <c r="L123" s="22">
        <f t="shared" si="12"/>
        <v>0</v>
      </c>
      <c r="M123" s="22"/>
      <c r="N123" s="238"/>
      <c r="O123" s="197"/>
      <c r="P123" s="22">
        <v>100000</v>
      </c>
      <c r="Q123" s="22">
        <v>50000</v>
      </c>
      <c r="R123" s="161">
        <v>50000</v>
      </c>
    </row>
    <row r="124" spans="1:18" ht="15" outlineLevel="1">
      <c r="A124" s="7" t="s">
        <v>304</v>
      </c>
      <c r="B124" s="237" t="s">
        <v>435</v>
      </c>
      <c r="C124" s="22">
        <v>70000</v>
      </c>
      <c r="D124" s="22"/>
      <c r="E124" s="22">
        <v>70000</v>
      </c>
      <c r="F124" s="210">
        <v>70000</v>
      </c>
      <c r="G124" s="22">
        <f>IF(ISNA(VLOOKUP(A124,Agresso!$A$2:$G$118,7,FALSE)),0,(VLOOKUP(A124,Agresso!$A$2:$G$118,7,FALSE)))</f>
        <v>0</v>
      </c>
      <c r="H124" s="22">
        <f>VLOOKUP(A124,Profiles!$A:$F,6,FALSE)</f>
        <v>0</v>
      </c>
      <c r="I124" s="22">
        <f t="shared" si="14"/>
        <v>0</v>
      </c>
      <c r="J124" s="180">
        <f t="shared" si="13"/>
        <v>0</v>
      </c>
      <c r="K124" s="22">
        <f t="shared" si="15"/>
        <v>70000</v>
      </c>
      <c r="L124" s="22">
        <f t="shared" si="12"/>
        <v>0</v>
      </c>
      <c r="M124" s="22"/>
      <c r="N124" s="238"/>
      <c r="O124" s="197"/>
      <c r="P124" s="22"/>
      <c r="Q124" s="22"/>
      <c r="R124" s="161"/>
    </row>
    <row r="125" spans="1:18" ht="15" outlineLevel="1">
      <c r="A125" s="7" t="s">
        <v>306</v>
      </c>
      <c r="B125" s="237" t="s">
        <v>436</v>
      </c>
      <c r="C125" s="22">
        <v>10000</v>
      </c>
      <c r="D125" s="22"/>
      <c r="E125" s="22">
        <v>10000</v>
      </c>
      <c r="F125" s="210">
        <v>10000</v>
      </c>
      <c r="G125" s="22">
        <f>IF(ISNA(VLOOKUP(A125,Agresso!$A$2:$G$118,7,FALSE)),0,(VLOOKUP(A125,Agresso!$A$2:$G$118,7,FALSE)))</f>
        <v>0</v>
      </c>
      <c r="H125" s="22">
        <f>VLOOKUP(A125,Profiles!$A:$F,6,FALSE)</f>
        <v>0</v>
      </c>
      <c r="I125" s="22">
        <f t="shared" si="14"/>
        <v>0</v>
      </c>
      <c r="J125" s="180">
        <f t="shared" si="13"/>
        <v>0</v>
      </c>
      <c r="K125" s="22">
        <f t="shared" si="15"/>
        <v>10000</v>
      </c>
      <c r="L125" s="22">
        <f t="shared" si="12"/>
        <v>0</v>
      </c>
      <c r="M125" s="22"/>
      <c r="N125" s="238"/>
      <c r="O125" s="197"/>
      <c r="P125" s="22"/>
      <c r="Q125" s="22"/>
      <c r="R125" s="161"/>
    </row>
    <row r="126" spans="1:18" ht="15" outlineLevel="1">
      <c r="A126" s="7" t="s">
        <v>308</v>
      </c>
      <c r="B126" s="237" t="s">
        <v>437</v>
      </c>
      <c r="C126" s="22">
        <v>200000</v>
      </c>
      <c r="D126" s="22"/>
      <c r="E126" s="22">
        <v>200000</v>
      </c>
      <c r="F126" s="210">
        <v>200000</v>
      </c>
      <c r="G126" s="22">
        <f>IF(ISNA(VLOOKUP(A126,Agresso!$A$2:$G$118,7,FALSE)),0,(VLOOKUP(A126,Agresso!$A$2:$G$118,7,FALSE)))</f>
        <v>0</v>
      </c>
      <c r="H126" s="22">
        <f>VLOOKUP(A126,Profiles!$A:$F,6,FALSE)</f>
        <v>0</v>
      </c>
      <c r="I126" s="22">
        <f t="shared" si="14"/>
        <v>0</v>
      </c>
      <c r="J126" s="180">
        <f t="shared" si="13"/>
        <v>0</v>
      </c>
      <c r="K126" s="22">
        <f t="shared" si="15"/>
        <v>200000</v>
      </c>
      <c r="L126" s="22">
        <f t="shared" si="12"/>
        <v>0</v>
      </c>
      <c r="M126" s="22"/>
      <c r="N126" s="238"/>
      <c r="O126" s="197"/>
      <c r="P126" s="22"/>
      <c r="Q126" s="22"/>
      <c r="R126" s="161"/>
    </row>
    <row r="127" spans="1:18" ht="15" outlineLevel="1">
      <c r="A127" s="7"/>
      <c r="B127" s="237" t="s">
        <v>553</v>
      </c>
      <c r="C127" s="22"/>
      <c r="D127" s="22"/>
      <c r="E127" s="22"/>
      <c r="F127" s="210"/>
      <c r="G127" s="22"/>
      <c r="H127" s="22"/>
      <c r="I127" s="22"/>
      <c r="J127" s="180"/>
      <c r="K127" s="22"/>
      <c r="L127" s="22"/>
      <c r="M127" s="22"/>
      <c r="N127" s="238"/>
      <c r="O127" s="197"/>
      <c r="P127" s="22"/>
      <c r="Q127" s="22">
        <v>28000</v>
      </c>
      <c r="R127" s="161"/>
    </row>
    <row r="128" spans="1:18" ht="15" outlineLevel="1">
      <c r="A128" s="7"/>
      <c r="B128" s="237" t="s">
        <v>554</v>
      </c>
      <c r="C128" s="22"/>
      <c r="D128" s="22"/>
      <c r="E128" s="22"/>
      <c r="F128" s="210"/>
      <c r="G128" s="22"/>
      <c r="H128" s="22"/>
      <c r="I128" s="22"/>
      <c r="J128" s="180"/>
      <c r="K128" s="22"/>
      <c r="L128" s="22"/>
      <c r="M128" s="22"/>
      <c r="N128" s="238"/>
      <c r="O128" s="197"/>
      <c r="P128" s="22"/>
      <c r="Q128" s="22">
        <v>50000</v>
      </c>
      <c r="R128" s="161">
        <v>450000</v>
      </c>
    </row>
    <row r="129" spans="1:18" ht="38.25" outlineLevel="1">
      <c r="A129" s="7"/>
      <c r="B129" s="237" t="s">
        <v>555</v>
      </c>
      <c r="C129" s="22"/>
      <c r="D129" s="22"/>
      <c r="E129" s="22"/>
      <c r="F129" s="210"/>
      <c r="G129" s="22"/>
      <c r="H129" s="22"/>
      <c r="I129" s="22"/>
      <c r="J129" s="180"/>
      <c r="K129" s="22"/>
      <c r="L129" s="22"/>
      <c r="M129" s="22"/>
      <c r="N129" s="238"/>
      <c r="O129" s="197" t="s">
        <v>747</v>
      </c>
      <c r="P129" s="22">
        <v>12000</v>
      </c>
      <c r="Q129" s="22">
        <v>12000</v>
      </c>
      <c r="R129" s="161">
        <v>12000</v>
      </c>
    </row>
    <row r="130" spans="1:18" ht="15" outlineLevel="1">
      <c r="A130" s="7" t="s">
        <v>18</v>
      </c>
      <c r="B130" s="239"/>
      <c r="C130" s="22"/>
      <c r="D130" s="22"/>
      <c r="E130" s="22"/>
      <c r="F130" s="210"/>
      <c r="G130" s="22"/>
      <c r="H130" s="22"/>
      <c r="I130" s="22"/>
      <c r="J130" s="180"/>
      <c r="K130" s="22"/>
      <c r="L130" s="22"/>
      <c r="M130" s="22"/>
      <c r="N130" s="238"/>
      <c r="O130" s="197"/>
      <c r="P130" s="22"/>
      <c r="Q130" s="22"/>
      <c r="R130" s="161"/>
    </row>
    <row r="131" spans="1:18" ht="15">
      <c r="A131" s="7" t="s">
        <v>19</v>
      </c>
      <c r="B131" s="240" t="s">
        <v>464</v>
      </c>
      <c r="C131" s="18">
        <f>SUM(C111:C130)</f>
        <v>10467216</v>
      </c>
      <c r="D131" s="18">
        <v>187046</v>
      </c>
      <c r="E131" s="18">
        <f>SUM(E111:E129)</f>
        <v>10667262</v>
      </c>
      <c r="F131" s="211">
        <f>SUM(F111:F129)</f>
        <v>6267262</v>
      </c>
      <c r="G131" s="18">
        <f>SUM(G111:G130)</f>
        <v>63379.17</v>
      </c>
      <c r="H131" s="18">
        <f>SUM(H111:H130)</f>
        <v>66626.5</v>
      </c>
      <c r="I131" s="18">
        <f>SUM(I111:I130)</f>
        <v>-3247.3300000000027</v>
      </c>
      <c r="J131" s="2">
        <f>G131/E131</f>
        <v>0.005941465579452346</v>
      </c>
      <c r="K131" s="18">
        <f>SUM(K111:K129)</f>
        <v>6267262</v>
      </c>
      <c r="L131" s="18">
        <f>SUM(L111:L129)</f>
        <v>0</v>
      </c>
      <c r="M131" s="18">
        <f>SUM(M111:M129)</f>
        <v>0</v>
      </c>
      <c r="N131" s="241">
        <f>SUM(N111:N129)</f>
        <v>0</v>
      </c>
      <c r="O131" s="198"/>
      <c r="P131" s="18">
        <f>SUM(P111:P130)</f>
        <v>414000</v>
      </c>
      <c r="Q131" s="18">
        <f>SUM(Q111:Q130)</f>
        <v>248000</v>
      </c>
      <c r="R131" s="21">
        <f>SUM(R111:R130)</f>
        <v>512000</v>
      </c>
    </row>
    <row r="132" spans="1:18" ht="15">
      <c r="A132" s="7" t="s">
        <v>18</v>
      </c>
      <c r="B132" s="243"/>
      <c r="C132" s="19"/>
      <c r="D132" s="19"/>
      <c r="E132" s="19"/>
      <c r="F132" s="212"/>
      <c r="G132" s="19"/>
      <c r="H132" s="19"/>
      <c r="I132" s="19"/>
      <c r="J132" s="181"/>
      <c r="K132" s="19"/>
      <c r="L132" s="19"/>
      <c r="M132" s="19"/>
      <c r="N132" s="244"/>
      <c r="O132" s="199"/>
      <c r="P132" s="19"/>
      <c r="Q132" s="19"/>
      <c r="R132" s="162"/>
    </row>
    <row r="133" spans="1:18" ht="15" outlineLevel="1">
      <c r="A133" s="7" t="s">
        <v>179</v>
      </c>
      <c r="B133" s="239" t="s">
        <v>180</v>
      </c>
      <c r="C133" s="22"/>
      <c r="D133" s="22">
        <v>84000</v>
      </c>
      <c r="E133" s="22">
        <v>84000</v>
      </c>
      <c r="F133" s="210">
        <v>84000</v>
      </c>
      <c r="G133" s="22">
        <f>IF(ISNA(VLOOKUP(A133,Agresso!$A$2:$G$118,7,FALSE)),0,(VLOOKUP(A133,Agresso!$A$2:$G$118,7,FALSE)))</f>
        <v>0</v>
      </c>
      <c r="H133" s="22">
        <f>VLOOKUP(A133,Profiles!$A:$F,6,FALSE)</f>
        <v>8400</v>
      </c>
      <c r="I133" s="22">
        <f aca="true" t="shared" si="16" ref="I133:I142">G133-H133</f>
        <v>-8400</v>
      </c>
      <c r="J133" s="180">
        <f aca="true" t="shared" si="17" ref="J133:J142">G133/E133</f>
        <v>0</v>
      </c>
      <c r="K133" s="22">
        <f>E133</f>
        <v>84000</v>
      </c>
      <c r="L133" s="22">
        <f aca="true" t="shared" si="18" ref="L133:L142">K133-F133</f>
        <v>0</v>
      </c>
      <c r="M133" s="22"/>
      <c r="N133" s="238"/>
      <c r="O133" s="197"/>
      <c r="P133" s="22"/>
      <c r="Q133" s="22"/>
      <c r="R133" s="161"/>
    </row>
    <row r="134" spans="1:18" ht="15" outlineLevel="1">
      <c r="A134" s="7" t="s">
        <v>181</v>
      </c>
      <c r="B134" s="239" t="s">
        <v>182</v>
      </c>
      <c r="C134" s="22">
        <v>135000</v>
      </c>
      <c r="D134" s="22">
        <v>29309</v>
      </c>
      <c r="E134" s="22">
        <v>164309</v>
      </c>
      <c r="F134" s="210">
        <v>164309</v>
      </c>
      <c r="G134" s="22">
        <f>IF(ISNA(VLOOKUP(A134,Agresso!$A$2:$G$118,7,FALSE)),0,(VLOOKUP(A134,Agresso!$A$2:$G$118,7,FALSE)))</f>
        <v>0</v>
      </c>
      <c r="H134" s="22">
        <f>VLOOKUP(A134,Profiles!$A:$F,6,FALSE)</f>
        <v>0</v>
      </c>
      <c r="I134" s="22">
        <f t="shared" si="16"/>
        <v>0</v>
      </c>
      <c r="J134" s="180">
        <f t="shared" si="17"/>
        <v>0</v>
      </c>
      <c r="K134" s="22">
        <f aca="true" t="shared" si="19" ref="K134:K142">E134</f>
        <v>164309</v>
      </c>
      <c r="L134" s="22">
        <f t="shared" si="18"/>
        <v>0</v>
      </c>
      <c r="M134" s="22"/>
      <c r="N134" s="238"/>
      <c r="O134" s="197"/>
      <c r="P134" s="22"/>
      <c r="Q134" s="22"/>
      <c r="R134" s="161"/>
    </row>
    <row r="135" spans="1:18" ht="15" outlineLevel="1">
      <c r="A135" s="7" t="s">
        <v>183</v>
      </c>
      <c r="B135" s="239" t="s">
        <v>184</v>
      </c>
      <c r="C135" s="22"/>
      <c r="D135" s="22">
        <v>1857</v>
      </c>
      <c r="E135" s="22">
        <v>1857</v>
      </c>
      <c r="F135" s="210">
        <v>1857</v>
      </c>
      <c r="G135" s="22">
        <f>IF(ISNA(VLOOKUP(A135,Agresso!$A$2:$G$118,7,FALSE)),0,(VLOOKUP(A135,Agresso!$A$2:$G$118,7,FALSE)))</f>
        <v>0</v>
      </c>
      <c r="H135" s="22">
        <f>VLOOKUP(A135,Profiles!$A:$F,6,FALSE)</f>
        <v>0</v>
      </c>
      <c r="I135" s="22">
        <f t="shared" si="16"/>
        <v>0</v>
      </c>
      <c r="J135" s="180">
        <f t="shared" si="17"/>
        <v>0</v>
      </c>
      <c r="K135" s="22">
        <f t="shared" si="19"/>
        <v>1857</v>
      </c>
      <c r="L135" s="22">
        <f t="shared" si="18"/>
        <v>0</v>
      </c>
      <c r="M135" s="22"/>
      <c r="N135" s="238"/>
      <c r="O135" s="197"/>
      <c r="P135" s="22"/>
      <c r="Q135" s="22"/>
      <c r="R135" s="161"/>
    </row>
    <row r="136" spans="1:18" ht="15" outlineLevel="1">
      <c r="A136" s="7"/>
      <c r="B136" s="239"/>
      <c r="C136" s="22"/>
      <c r="D136" s="22">
        <v>0</v>
      </c>
      <c r="E136" s="22"/>
      <c r="F136" s="210"/>
      <c r="G136" s="22"/>
      <c r="H136" s="22"/>
      <c r="I136" s="22"/>
      <c r="J136" s="22"/>
      <c r="K136" s="22"/>
      <c r="L136" s="22"/>
      <c r="M136" s="22"/>
      <c r="N136" s="238"/>
      <c r="O136" s="197"/>
      <c r="P136" s="22"/>
      <c r="Q136" s="22"/>
      <c r="R136" s="161"/>
    </row>
    <row r="137" spans="1:18" ht="15" outlineLevel="1">
      <c r="A137" s="7" t="s">
        <v>185</v>
      </c>
      <c r="B137" s="239" t="s">
        <v>186</v>
      </c>
      <c r="C137" s="22">
        <v>2562700</v>
      </c>
      <c r="D137" s="22">
        <v>178879</v>
      </c>
      <c r="E137" s="22">
        <v>2741579</v>
      </c>
      <c r="F137" s="210">
        <v>2741579</v>
      </c>
      <c r="G137" s="22">
        <f>IF(ISNA(VLOOKUP(A137,Agresso!$A$2:$G$118,7,FALSE)),0,(VLOOKUP(A137,Agresso!$A$2:$G$118,7,FALSE)))</f>
        <v>587697.73</v>
      </c>
      <c r="H137" s="22">
        <f>VLOOKUP(A137,Profiles!$A:$F,6,FALSE)</f>
        <v>683200.84</v>
      </c>
      <c r="I137" s="22">
        <f t="shared" si="16"/>
        <v>-95503.10999999999</v>
      </c>
      <c r="J137" s="180">
        <f t="shared" si="17"/>
        <v>0.21436468910799214</v>
      </c>
      <c r="K137" s="22">
        <f t="shared" si="19"/>
        <v>2741579</v>
      </c>
      <c r="L137" s="22">
        <f t="shared" si="18"/>
        <v>0</v>
      </c>
      <c r="M137" s="22"/>
      <c r="N137" s="238"/>
      <c r="O137" s="197"/>
      <c r="P137" s="22">
        <v>2200250</v>
      </c>
      <c r="Q137" s="22">
        <v>1799000</v>
      </c>
      <c r="R137" s="161">
        <v>453000</v>
      </c>
    </row>
    <row r="138" spans="1:18" ht="15" outlineLevel="1">
      <c r="A138" s="7"/>
      <c r="B138" s="239"/>
      <c r="C138" s="22"/>
      <c r="D138" s="22">
        <v>0</v>
      </c>
      <c r="E138" s="22"/>
      <c r="F138" s="210"/>
      <c r="G138" s="22"/>
      <c r="H138" s="22"/>
      <c r="I138" s="22"/>
      <c r="J138" s="22"/>
      <c r="K138" s="22"/>
      <c r="L138" s="22"/>
      <c r="M138" s="22"/>
      <c r="N138" s="238"/>
      <c r="O138" s="197"/>
      <c r="P138" s="22"/>
      <c r="Q138" s="22"/>
      <c r="R138" s="161"/>
    </row>
    <row r="139" spans="1:18" ht="15" outlineLevel="1">
      <c r="A139" s="7" t="s">
        <v>193</v>
      </c>
      <c r="B139" s="239" t="s">
        <v>194</v>
      </c>
      <c r="C139" s="22">
        <v>180000</v>
      </c>
      <c r="D139" s="22">
        <v>-3055</v>
      </c>
      <c r="E139" s="22">
        <v>176945</v>
      </c>
      <c r="F139" s="210">
        <v>176945</v>
      </c>
      <c r="G139" s="22">
        <f>IF(ISNA(VLOOKUP(A139,Agresso!$A$2:$G$118,7,FALSE)),0,(VLOOKUP(A139,Agresso!$A$2:$G$118,7,FALSE)))</f>
        <v>51576.3</v>
      </c>
      <c r="H139" s="22">
        <f>VLOOKUP(A139,Profiles!$A:$F,6,FALSE)</f>
        <v>49155.32</v>
      </c>
      <c r="I139" s="22">
        <f t="shared" si="16"/>
        <v>2420.980000000003</v>
      </c>
      <c r="J139" s="180">
        <f t="shared" si="17"/>
        <v>0.29148209895730315</v>
      </c>
      <c r="K139" s="22">
        <f t="shared" si="19"/>
        <v>176945</v>
      </c>
      <c r="L139" s="22">
        <f t="shared" si="18"/>
        <v>0</v>
      </c>
      <c r="M139" s="22"/>
      <c r="N139" s="238"/>
      <c r="O139" s="197"/>
      <c r="P139" s="22">
        <v>80000</v>
      </c>
      <c r="Q139" s="22"/>
      <c r="R139" s="161"/>
    </row>
    <row r="140" spans="1:18" ht="15" outlineLevel="1">
      <c r="A140" s="7" t="s">
        <v>195</v>
      </c>
      <c r="B140" s="239" t="s">
        <v>196</v>
      </c>
      <c r="C140" s="22"/>
      <c r="D140" s="22">
        <v>0</v>
      </c>
      <c r="E140" s="22"/>
      <c r="F140" s="210">
        <v>0</v>
      </c>
      <c r="G140" s="22">
        <f>IF(ISNA(VLOOKUP(A140,Agresso!$A$2:$G$118,7,FALSE)),0,(VLOOKUP(A140,Agresso!$A$2:$G$118,7,FALSE)))</f>
        <v>0</v>
      </c>
      <c r="H140" s="22">
        <v>0</v>
      </c>
      <c r="I140" s="22">
        <f t="shared" si="16"/>
        <v>0</v>
      </c>
      <c r="J140" s="180">
        <v>0</v>
      </c>
      <c r="K140" s="22">
        <f t="shared" si="19"/>
        <v>0</v>
      </c>
      <c r="L140" s="22">
        <f t="shared" si="18"/>
        <v>0</v>
      </c>
      <c r="M140" s="22"/>
      <c r="N140" s="238"/>
      <c r="O140" s="197"/>
      <c r="P140" s="22"/>
      <c r="Q140" s="22"/>
      <c r="R140" s="161"/>
    </row>
    <row r="141" spans="1:18" ht="15" outlineLevel="1">
      <c r="A141" s="7" t="s">
        <v>429</v>
      </c>
      <c r="B141" s="239" t="s">
        <v>474</v>
      </c>
      <c r="C141" s="22">
        <v>80000</v>
      </c>
      <c r="D141" s="22">
        <v>0</v>
      </c>
      <c r="E141" s="22">
        <v>80000</v>
      </c>
      <c r="F141" s="210">
        <v>80000</v>
      </c>
      <c r="G141" s="22">
        <f>IF(ISNA(VLOOKUP(A141,Agresso!$A$2:$G$118,7,FALSE)),0,(VLOOKUP(A141,Agresso!$A$2:$G$118,7,FALSE)))</f>
        <v>0</v>
      </c>
      <c r="H141" s="22">
        <f>VLOOKUP(A141,Profiles!$A:$F,6,FALSE)</f>
        <v>0</v>
      </c>
      <c r="I141" s="22">
        <f t="shared" si="16"/>
        <v>0</v>
      </c>
      <c r="J141" s="180">
        <f t="shared" si="17"/>
        <v>0</v>
      </c>
      <c r="K141" s="22">
        <f t="shared" si="19"/>
        <v>80000</v>
      </c>
      <c r="L141" s="22">
        <f t="shared" si="18"/>
        <v>0</v>
      </c>
      <c r="M141" s="22"/>
      <c r="N141" s="238"/>
      <c r="O141" s="197"/>
      <c r="P141" s="22">
        <v>350000</v>
      </c>
      <c r="Q141" s="22">
        <v>350000</v>
      </c>
      <c r="R141" s="161">
        <v>350000</v>
      </c>
    </row>
    <row r="142" spans="1:18" ht="15" outlineLevel="1">
      <c r="A142" s="7" t="s">
        <v>431</v>
      </c>
      <c r="B142" s="239" t="s">
        <v>475</v>
      </c>
      <c r="C142" s="22">
        <v>100000</v>
      </c>
      <c r="D142" s="22">
        <v>0</v>
      </c>
      <c r="E142" s="22">
        <v>100000</v>
      </c>
      <c r="F142" s="210">
        <v>100000</v>
      </c>
      <c r="G142" s="22">
        <f>IF(ISNA(VLOOKUP(A142,Agresso!$A$2:$G$118,7,FALSE)),0,(VLOOKUP(A142,Agresso!$A$2:$G$118,7,FALSE)))</f>
        <v>0</v>
      </c>
      <c r="H142" s="22">
        <f>VLOOKUP(A142,Profiles!$A:$F,6,FALSE)</f>
        <v>0</v>
      </c>
      <c r="I142" s="22">
        <f t="shared" si="16"/>
        <v>0</v>
      </c>
      <c r="J142" s="180">
        <f t="shared" si="17"/>
        <v>0</v>
      </c>
      <c r="K142" s="22">
        <f t="shared" si="19"/>
        <v>100000</v>
      </c>
      <c r="L142" s="22">
        <f t="shared" si="18"/>
        <v>0</v>
      </c>
      <c r="M142" s="22"/>
      <c r="N142" s="238"/>
      <c r="O142" s="197"/>
      <c r="P142" s="22"/>
      <c r="Q142" s="22"/>
      <c r="R142" s="161"/>
    </row>
    <row r="143" spans="1:18" ht="15" outlineLevel="1">
      <c r="A143" s="7"/>
      <c r="B143" s="239"/>
      <c r="C143" s="22"/>
      <c r="D143" s="22">
        <v>0</v>
      </c>
      <c r="E143" s="22"/>
      <c r="F143" s="210"/>
      <c r="G143" s="22"/>
      <c r="H143" s="22"/>
      <c r="I143" s="22"/>
      <c r="J143" s="180"/>
      <c r="K143" s="22"/>
      <c r="L143" s="22"/>
      <c r="M143" s="22"/>
      <c r="N143" s="238"/>
      <c r="O143" s="197"/>
      <c r="P143" s="22"/>
      <c r="Q143" s="22"/>
      <c r="R143" s="161"/>
    </row>
    <row r="144" spans="1:18" ht="15" outlineLevel="1">
      <c r="A144" s="7" t="s">
        <v>18</v>
      </c>
      <c r="B144" s="239"/>
      <c r="C144" s="22"/>
      <c r="D144" s="22"/>
      <c r="E144" s="22"/>
      <c r="F144" s="210"/>
      <c r="G144" s="22"/>
      <c r="H144" s="22"/>
      <c r="I144" s="22"/>
      <c r="J144" s="180"/>
      <c r="K144" s="22"/>
      <c r="L144" s="22"/>
      <c r="M144" s="22"/>
      <c r="N144" s="238"/>
      <c r="O144" s="197"/>
      <c r="P144" s="22"/>
      <c r="Q144" s="22"/>
      <c r="R144" s="161"/>
    </row>
    <row r="145" spans="1:18" ht="15">
      <c r="A145" s="7" t="s">
        <v>201</v>
      </c>
      <c r="B145" s="240" t="s">
        <v>202</v>
      </c>
      <c r="C145" s="18">
        <f>SUM(C133:C144)</f>
        <v>3057700</v>
      </c>
      <c r="D145" s="18">
        <v>290990</v>
      </c>
      <c r="E145" s="18">
        <f>SUM(E133:E143)</f>
        <v>3348690</v>
      </c>
      <c r="F145" s="211">
        <f>SUM(F133:F143)</f>
        <v>3348690</v>
      </c>
      <c r="G145" s="18">
        <f>SUM(G133:G144)</f>
        <v>639274.03</v>
      </c>
      <c r="H145" s="18">
        <f>SUM(H133:H144)</f>
        <v>740756.1599999999</v>
      </c>
      <c r="I145" s="18">
        <f>SUM(I133:I144)</f>
        <v>-101482.12999999998</v>
      </c>
      <c r="J145" s="2">
        <f>G145/E145</f>
        <v>0.19090272016818519</v>
      </c>
      <c r="K145" s="18">
        <f>SUM(K133:K143)</f>
        <v>3348690</v>
      </c>
      <c r="L145" s="18">
        <f>SUM(L133:L143)</f>
        <v>0</v>
      </c>
      <c r="M145" s="18">
        <f>SUM(M133:M143)</f>
        <v>0</v>
      </c>
      <c r="N145" s="241">
        <f>SUM(N133:N143)</f>
        <v>0</v>
      </c>
      <c r="O145" s="198"/>
      <c r="P145" s="18">
        <f>SUM(P133:P144)</f>
        <v>2630250</v>
      </c>
      <c r="Q145" s="18">
        <f>SUM(Q133:Q144)</f>
        <v>2149000</v>
      </c>
      <c r="R145" s="21">
        <f>SUM(R133:R144)</f>
        <v>803000</v>
      </c>
    </row>
    <row r="146" spans="1:18" ht="15">
      <c r="A146" s="7" t="s">
        <v>18</v>
      </c>
      <c r="B146" s="243"/>
      <c r="C146" s="19"/>
      <c r="D146" s="19"/>
      <c r="E146" s="19"/>
      <c r="F146" s="212"/>
      <c r="G146" s="19"/>
      <c r="H146" s="19"/>
      <c r="I146" s="19"/>
      <c r="J146" s="181"/>
      <c r="K146" s="19"/>
      <c r="L146" s="19"/>
      <c r="M146" s="19"/>
      <c r="N146" s="244"/>
      <c r="O146" s="199"/>
      <c r="P146" s="19"/>
      <c r="Q146" s="19"/>
      <c r="R146" s="162"/>
    </row>
    <row r="147" spans="1:18" ht="25.5" outlineLevel="1">
      <c r="A147" s="7" t="s">
        <v>203</v>
      </c>
      <c r="B147" s="239" t="s">
        <v>204</v>
      </c>
      <c r="C147" s="22">
        <v>200000</v>
      </c>
      <c r="D147" s="22">
        <v>0</v>
      </c>
      <c r="E147" s="22">
        <v>200000</v>
      </c>
      <c r="F147" s="210">
        <v>200000</v>
      </c>
      <c r="G147" s="22">
        <f>IF(ISNA(VLOOKUP(A147,Agresso!$A$2:$G$118,7,FALSE)),0,(VLOOKUP(A147,Agresso!$A$2:$G$118,7,FALSE)))</f>
        <v>43153.51</v>
      </c>
      <c r="H147" s="22">
        <f>VLOOKUP(A147,Profiles!$A:$F,6,FALSE)</f>
        <v>50000</v>
      </c>
      <c r="I147" s="22">
        <f aca="true" t="shared" si="20" ref="I147:I154">G147-H147</f>
        <v>-6846.489999999998</v>
      </c>
      <c r="J147" s="180">
        <f aca="true" t="shared" si="21" ref="J147:J154">G147/E147</f>
        <v>0.21576755</v>
      </c>
      <c r="K147" s="22">
        <f>E147</f>
        <v>200000</v>
      </c>
      <c r="L147" s="22">
        <f aca="true" t="shared" si="22" ref="L147:L154">K147-E147</f>
        <v>0</v>
      </c>
      <c r="M147" s="22"/>
      <c r="N147" s="238"/>
      <c r="O147" s="197" t="s">
        <v>729</v>
      </c>
      <c r="P147" s="22">
        <v>100000</v>
      </c>
      <c r="Q147" s="22">
        <v>150000</v>
      </c>
      <c r="R147" s="161">
        <v>150000</v>
      </c>
    </row>
    <row r="148" spans="1:18" ht="38.25" outlineLevel="1">
      <c r="A148" s="7" t="s">
        <v>207</v>
      </c>
      <c r="B148" s="239" t="s">
        <v>208</v>
      </c>
      <c r="C148" s="22">
        <v>188574</v>
      </c>
      <c r="D148" s="22">
        <v>0</v>
      </c>
      <c r="E148" s="22">
        <v>188574</v>
      </c>
      <c r="F148" s="210">
        <v>188574</v>
      </c>
      <c r="G148" s="22">
        <f>IF(ISNA(VLOOKUP(A148,Agresso!$A$2:$G$118,7,FALSE)),0,(VLOOKUP(A148,Agresso!$A$2:$G$118,7,FALSE)))</f>
        <v>176052.5</v>
      </c>
      <c r="H148" s="22">
        <f>VLOOKUP(A148,Profiles!$A:$F,6,FALSE)</f>
        <v>0</v>
      </c>
      <c r="I148" s="22">
        <f t="shared" si="20"/>
        <v>176052.5</v>
      </c>
      <c r="J148" s="180">
        <f t="shared" si="21"/>
        <v>0.9335990115286307</v>
      </c>
      <c r="K148" s="22">
        <f aca="true" t="shared" si="23" ref="K148:K154">E148</f>
        <v>188574</v>
      </c>
      <c r="L148" s="22">
        <f t="shared" si="22"/>
        <v>0</v>
      </c>
      <c r="M148" s="22"/>
      <c r="N148" s="238"/>
      <c r="O148" s="197" t="s">
        <v>728</v>
      </c>
      <c r="P148" s="22">
        <v>177000</v>
      </c>
      <c r="Q148" s="22">
        <v>177000</v>
      </c>
      <c r="R148" s="161">
        <v>177000</v>
      </c>
    </row>
    <row r="149" spans="1:18" ht="15" outlineLevel="1">
      <c r="A149" s="7" t="s">
        <v>355</v>
      </c>
      <c r="B149" s="239" t="s">
        <v>450</v>
      </c>
      <c r="C149" s="22">
        <v>98000</v>
      </c>
      <c r="D149" s="22">
        <v>0</v>
      </c>
      <c r="E149" s="22">
        <v>98000</v>
      </c>
      <c r="F149" s="210">
        <v>98000</v>
      </c>
      <c r="G149" s="22">
        <f>IF(ISNA(VLOOKUP(A149,Agresso!$A$2:$G$118,7,FALSE)),0,(VLOOKUP(A149,Agresso!$A$2:$G$118,7,FALSE)))</f>
        <v>0</v>
      </c>
      <c r="H149" s="22">
        <f>VLOOKUP(A149,Profiles!$A:$F,6,FALSE)</f>
        <v>0</v>
      </c>
      <c r="I149" s="22">
        <f t="shared" si="20"/>
        <v>0</v>
      </c>
      <c r="J149" s="180">
        <f t="shared" si="21"/>
        <v>0</v>
      </c>
      <c r="K149" s="22">
        <f t="shared" si="23"/>
        <v>98000</v>
      </c>
      <c r="L149" s="22">
        <f t="shared" si="22"/>
        <v>0</v>
      </c>
      <c r="M149" s="22"/>
      <c r="N149" s="238"/>
      <c r="O149" s="197" t="s">
        <v>730</v>
      </c>
      <c r="P149" s="22"/>
      <c r="Q149" s="22"/>
      <c r="R149" s="161"/>
    </row>
    <row r="150" spans="1:18" ht="15" outlineLevel="1">
      <c r="A150" s="7" t="s">
        <v>357</v>
      </c>
      <c r="B150" s="239" t="s">
        <v>451</v>
      </c>
      <c r="C150" s="22">
        <v>25000</v>
      </c>
      <c r="D150" s="22">
        <v>0</v>
      </c>
      <c r="E150" s="22">
        <v>25000</v>
      </c>
      <c r="F150" s="210">
        <v>25000</v>
      </c>
      <c r="G150" s="22">
        <f>IF(ISNA(VLOOKUP(A150,Agresso!$A$2:$G$118,7,FALSE)),0,(VLOOKUP(A150,Agresso!$A$2:$G$118,7,FALSE)))</f>
        <v>0</v>
      </c>
      <c r="H150" s="22">
        <f>VLOOKUP(A150,Profiles!$A:$F,6,FALSE)</f>
        <v>0</v>
      </c>
      <c r="I150" s="22">
        <f t="shared" si="20"/>
        <v>0</v>
      </c>
      <c r="J150" s="180">
        <f t="shared" si="21"/>
        <v>0</v>
      </c>
      <c r="K150" s="22">
        <f t="shared" si="23"/>
        <v>25000</v>
      </c>
      <c r="L150" s="22">
        <f t="shared" si="22"/>
        <v>0</v>
      </c>
      <c r="M150" s="22"/>
      <c r="N150" s="238"/>
      <c r="O150" s="197" t="s">
        <v>730</v>
      </c>
      <c r="P150" s="22"/>
      <c r="Q150" s="22"/>
      <c r="R150" s="161"/>
    </row>
    <row r="151" spans="1:18" ht="15" outlineLevel="1">
      <c r="A151" s="7" t="s">
        <v>359</v>
      </c>
      <c r="B151" s="239" t="s">
        <v>452</v>
      </c>
      <c r="C151" s="22">
        <v>25000</v>
      </c>
      <c r="D151" s="22">
        <v>0</v>
      </c>
      <c r="E151" s="22">
        <v>25000</v>
      </c>
      <c r="F151" s="210">
        <v>25000</v>
      </c>
      <c r="G151" s="22">
        <f>IF(ISNA(VLOOKUP(A151,Agresso!$A$2:$G$118,7,FALSE)),0,(VLOOKUP(A151,Agresso!$A$2:$G$118,7,FALSE)))</f>
        <v>0</v>
      </c>
      <c r="H151" s="22">
        <f>VLOOKUP(A151,Profiles!$A:$F,6,FALSE)</f>
        <v>0</v>
      </c>
      <c r="I151" s="22">
        <f t="shared" si="20"/>
        <v>0</v>
      </c>
      <c r="J151" s="180">
        <f t="shared" si="21"/>
        <v>0</v>
      </c>
      <c r="K151" s="22">
        <f t="shared" si="23"/>
        <v>25000</v>
      </c>
      <c r="L151" s="22">
        <f t="shared" si="22"/>
        <v>0</v>
      </c>
      <c r="M151" s="22"/>
      <c r="N151" s="238"/>
      <c r="O151" s="197" t="s">
        <v>730</v>
      </c>
      <c r="P151" s="22"/>
      <c r="Q151" s="22"/>
      <c r="R151" s="161"/>
    </row>
    <row r="152" spans="1:18" ht="15" outlineLevel="1">
      <c r="A152" s="7" t="s">
        <v>361</v>
      </c>
      <c r="B152" s="239" t="s">
        <v>453</v>
      </c>
      <c r="C152" s="22">
        <v>25000</v>
      </c>
      <c r="D152" s="22">
        <v>0</v>
      </c>
      <c r="E152" s="22">
        <v>25000</v>
      </c>
      <c r="F152" s="210">
        <v>25000</v>
      </c>
      <c r="G152" s="22">
        <f>IF(ISNA(VLOOKUP(A152,Agresso!$A$2:$G$118,7,FALSE)),0,(VLOOKUP(A152,Agresso!$A$2:$G$118,7,FALSE)))</f>
        <v>0</v>
      </c>
      <c r="H152" s="22">
        <f>VLOOKUP(A152,Profiles!$A:$F,6,FALSE)</f>
        <v>0</v>
      </c>
      <c r="I152" s="22">
        <f t="shared" si="20"/>
        <v>0</v>
      </c>
      <c r="J152" s="180">
        <f t="shared" si="21"/>
        <v>0</v>
      </c>
      <c r="K152" s="22">
        <f t="shared" si="23"/>
        <v>25000</v>
      </c>
      <c r="L152" s="22">
        <f t="shared" si="22"/>
        <v>0</v>
      </c>
      <c r="M152" s="22"/>
      <c r="N152" s="238"/>
      <c r="O152" s="197" t="s">
        <v>730</v>
      </c>
      <c r="P152" s="22"/>
      <c r="Q152" s="22"/>
      <c r="R152" s="161"/>
    </row>
    <row r="153" spans="1:18" ht="15" outlineLevel="1">
      <c r="A153" s="7" t="s">
        <v>363</v>
      </c>
      <c r="B153" s="239" t="s">
        <v>454</v>
      </c>
      <c r="C153" s="22">
        <v>15000</v>
      </c>
      <c r="D153" s="22">
        <v>0</v>
      </c>
      <c r="E153" s="22">
        <v>15000</v>
      </c>
      <c r="F153" s="210">
        <v>15000</v>
      </c>
      <c r="G153" s="22">
        <f>IF(ISNA(VLOOKUP(A153,Agresso!$A$2:$G$118,7,FALSE)),0,(VLOOKUP(A153,Agresso!$A$2:$G$118,7,FALSE)))</f>
        <v>0</v>
      </c>
      <c r="H153" s="22">
        <f>VLOOKUP(A153,Profiles!$A:$F,6,FALSE)</f>
        <v>0</v>
      </c>
      <c r="I153" s="22">
        <f t="shared" si="20"/>
        <v>0</v>
      </c>
      <c r="J153" s="180">
        <f t="shared" si="21"/>
        <v>0</v>
      </c>
      <c r="K153" s="22">
        <f t="shared" si="23"/>
        <v>15000</v>
      </c>
      <c r="L153" s="22">
        <f t="shared" si="22"/>
        <v>0</v>
      </c>
      <c r="M153" s="22"/>
      <c r="N153" s="238"/>
      <c r="O153" s="197" t="s">
        <v>730</v>
      </c>
      <c r="P153" s="22"/>
      <c r="Q153" s="22"/>
      <c r="R153" s="161"/>
    </row>
    <row r="154" spans="1:18" ht="15" outlineLevel="1">
      <c r="A154" s="7" t="s">
        <v>365</v>
      </c>
      <c r="B154" s="239" t="s">
        <v>455</v>
      </c>
      <c r="C154" s="22">
        <v>15000</v>
      </c>
      <c r="D154" s="22">
        <v>0</v>
      </c>
      <c r="E154" s="22">
        <v>15000</v>
      </c>
      <c r="F154" s="210">
        <v>15000</v>
      </c>
      <c r="G154" s="22">
        <f>IF(ISNA(VLOOKUP(A154,Agresso!$A$2:$G$118,7,FALSE)),0,(VLOOKUP(A154,Agresso!$A$2:$G$118,7,FALSE)))</f>
        <v>0</v>
      </c>
      <c r="H154" s="22">
        <f>VLOOKUP(A154,Profiles!$A:$F,6,FALSE)</f>
        <v>0</v>
      </c>
      <c r="I154" s="22">
        <f t="shared" si="20"/>
        <v>0</v>
      </c>
      <c r="J154" s="180">
        <f t="shared" si="21"/>
        <v>0</v>
      </c>
      <c r="K154" s="22">
        <f t="shared" si="23"/>
        <v>15000</v>
      </c>
      <c r="L154" s="22">
        <f t="shared" si="22"/>
        <v>0</v>
      </c>
      <c r="M154" s="22"/>
      <c r="N154" s="238"/>
      <c r="O154" s="197" t="s">
        <v>730</v>
      </c>
      <c r="P154" s="22"/>
      <c r="Q154" s="22"/>
      <c r="R154" s="161"/>
    </row>
    <row r="155" spans="1:18" ht="15" outlineLevel="1">
      <c r="A155" s="7" t="s">
        <v>18</v>
      </c>
      <c r="B155" s="239"/>
      <c r="C155" s="22"/>
      <c r="D155" s="22"/>
      <c r="E155" s="22"/>
      <c r="F155" s="210"/>
      <c r="G155" s="22"/>
      <c r="H155" s="22"/>
      <c r="I155" s="22"/>
      <c r="J155" s="180"/>
      <c r="K155" s="22"/>
      <c r="L155" s="22"/>
      <c r="M155" s="22"/>
      <c r="N155" s="238"/>
      <c r="O155" s="197"/>
      <c r="P155" s="22"/>
      <c r="Q155" s="22"/>
      <c r="R155" s="161"/>
    </row>
    <row r="156" spans="1:18" ht="15">
      <c r="A156" s="7" t="s">
        <v>209</v>
      </c>
      <c r="B156" s="240" t="s">
        <v>463</v>
      </c>
      <c r="C156" s="18">
        <f>SUM(C147:C155)</f>
        <v>591574</v>
      </c>
      <c r="D156" s="18">
        <v>0</v>
      </c>
      <c r="E156" s="18">
        <f>SUM(E147:E154)</f>
        <v>591574</v>
      </c>
      <c r="F156" s="211">
        <f>SUM(F147:F154)</f>
        <v>591574</v>
      </c>
      <c r="G156" s="18">
        <f>SUM(G147:G155)</f>
        <v>219206.01</v>
      </c>
      <c r="H156" s="18">
        <f>SUM(H147:H155)</f>
        <v>50000</v>
      </c>
      <c r="I156" s="18">
        <f>SUM(I147:I155)</f>
        <v>169206.01</v>
      </c>
      <c r="J156" s="2">
        <f>G156/E156</f>
        <v>0.3705470659630072</v>
      </c>
      <c r="K156" s="18">
        <f>SUM(K147:K154)</f>
        <v>591574</v>
      </c>
      <c r="L156" s="18">
        <f>SUM(L147:L154)</f>
        <v>0</v>
      </c>
      <c r="M156" s="18">
        <f>SUM(M147:M154)</f>
        <v>0</v>
      </c>
      <c r="N156" s="241">
        <f>SUM(N147:N154)</f>
        <v>0</v>
      </c>
      <c r="O156" s="198"/>
      <c r="P156" s="18">
        <f>SUM(P147:P155)</f>
        <v>277000</v>
      </c>
      <c r="Q156" s="18">
        <f>SUM(Q147:Q155)</f>
        <v>327000</v>
      </c>
      <c r="R156" s="21">
        <f>SUM(R147:R155)</f>
        <v>327000</v>
      </c>
    </row>
    <row r="157" spans="1:19" ht="15">
      <c r="A157" s="7"/>
      <c r="B157" s="249"/>
      <c r="C157" s="98"/>
      <c r="D157" s="98"/>
      <c r="E157" s="98"/>
      <c r="F157" s="213"/>
      <c r="G157" s="98"/>
      <c r="H157" s="98"/>
      <c r="I157" s="98"/>
      <c r="J157" s="182"/>
      <c r="K157" s="98"/>
      <c r="L157" s="98"/>
      <c r="M157" s="98"/>
      <c r="N157" s="250"/>
      <c r="O157" s="201"/>
      <c r="P157" s="98"/>
      <c r="Q157" s="98"/>
      <c r="R157" s="164"/>
      <c r="S157" s="24"/>
    </row>
    <row r="158" spans="1:19" ht="15">
      <c r="A158" s="7" t="s">
        <v>210</v>
      </c>
      <c r="B158" s="240" t="s">
        <v>211</v>
      </c>
      <c r="C158" s="18">
        <f>C156+C145+C131+C109+C104+C45+C33+C25+C9</f>
        <v>24334006</v>
      </c>
      <c r="D158" s="18">
        <v>1077805.65</v>
      </c>
      <c r="E158" s="18">
        <f>E156+E145+E131+E109+E104+E45+E33+E25+E9</f>
        <v>25424811.650000002</v>
      </c>
      <c r="F158" s="211">
        <f>F156+F145+F131+F109+F104+F45+F33+F25+F9</f>
        <v>18641510</v>
      </c>
      <c r="G158" s="18">
        <f>G156+G145+G131+G109+G104+G45+G33+G25+G9</f>
        <v>1543371</v>
      </c>
      <c r="H158" s="18">
        <f>H156+H145+H131+H109+H104+H45+H33+H25+H9</f>
        <v>1621065.66</v>
      </c>
      <c r="I158" s="18">
        <f>I156+I145+I131+I109+I104+I45+I33+I25+I9</f>
        <v>-77694.65999999996</v>
      </c>
      <c r="J158" s="2">
        <f>G158/E158</f>
        <v>0.060703340549624084</v>
      </c>
      <c r="K158" s="18">
        <f>K156+K145+K131+K109+K104+K45+K33+K25+K9</f>
        <v>18516952.65</v>
      </c>
      <c r="L158" s="18">
        <f>L156+L145+L131+L109+L104+L45+L33+L25+L9</f>
        <v>-124557.34999999999</v>
      </c>
      <c r="M158" s="18">
        <f>M156+M145+M131+M109+M104+M45+M33+M25+M9</f>
        <v>-128278</v>
      </c>
      <c r="N158" s="241">
        <f>N156+N145+N131+N109+N104+N45+N33+N25+N9</f>
        <v>3718.929999999993</v>
      </c>
      <c r="O158" s="198"/>
      <c r="P158" s="18">
        <f>P156+P145+P131+P109+P104+P45+P33+P25+P9</f>
        <v>9494000</v>
      </c>
      <c r="Q158" s="18">
        <f>Q156+Q145+Q131+Q109+Q104+Q45+Q33+Q25+Q9</f>
        <v>4624000</v>
      </c>
      <c r="R158" s="21">
        <f>R156+R145+R131+R109+R104+R45+R33+R25+R9</f>
        <v>3182000</v>
      </c>
      <c r="S158" s="9"/>
    </row>
    <row r="159" spans="1:20" ht="15">
      <c r="A159" s="7" t="s">
        <v>18</v>
      </c>
      <c r="B159" s="243"/>
      <c r="C159" s="19"/>
      <c r="D159" s="19"/>
      <c r="E159" s="19"/>
      <c r="F159" s="212"/>
      <c r="G159" s="19"/>
      <c r="H159" s="19"/>
      <c r="I159" s="19"/>
      <c r="J159" s="181"/>
      <c r="K159" s="19"/>
      <c r="L159" s="19"/>
      <c r="M159" s="19"/>
      <c r="N159" s="244"/>
      <c r="O159" s="199"/>
      <c r="P159" s="19"/>
      <c r="Q159" s="19"/>
      <c r="R159" s="162"/>
      <c r="S159" s="19"/>
      <c r="T159" s="19"/>
    </row>
    <row r="160" spans="1:20" ht="15" outlineLevel="1">
      <c r="A160" s="7" t="s">
        <v>212</v>
      </c>
      <c r="B160" s="243" t="s">
        <v>213</v>
      </c>
      <c r="C160" s="19"/>
      <c r="D160" s="19"/>
      <c r="E160" s="19"/>
      <c r="F160" s="212"/>
      <c r="G160" s="19"/>
      <c r="H160" s="19"/>
      <c r="I160" s="19"/>
      <c r="J160" s="181"/>
      <c r="K160" s="19"/>
      <c r="L160" s="19"/>
      <c r="M160" s="19"/>
      <c r="N160" s="244"/>
      <c r="O160" s="199"/>
      <c r="P160" s="19"/>
      <c r="Q160" s="19"/>
      <c r="R160" s="162"/>
      <c r="S160" s="19"/>
      <c r="T160" s="19"/>
    </row>
    <row r="161" spans="1:19" ht="15" outlineLevel="1">
      <c r="A161" s="7" t="s">
        <v>214</v>
      </c>
      <c r="B161" s="239" t="s">
        <v>215</v>
      </c>
      <c r="C161" s="22">
        <v>500000</v>
      </c>
      <c r="D161" s="22"/>
      <c r="E161" s="22">
        <v>500000</v>
      </c>
      <c r="F161" s="210">
        <v>500000</v>
      </c>
      <c r="G161" s="22">
        <f>IF(ISNA(VLOOKUP(A161,Agresso!$A$2:$G$118,7,FALSE)),0,(VLOOKUP(A161,Agresso!$A$2:$G$118,7,FALSE)))</f>
        <v>2936.22</v>
      </c>
      <c r="H161" s="22">
        <f>VLOOKUP(A161,Profiles!$A:$F,6,FALSE)</f>
        <v>0</v>
      </c>
      <c r="I161" s="22">
        <f>G161-H161</f>
        <v>2936.22</v>
      </c>
      <c r="J161" s="180">
        <f>G161/E161</f>
        <v>0.00587244</v>
      </c>
      <c r="K161" s="22">
        <f>E161</f>
        <v>500000</v>
      </c>
      <c r="L161" s="22">
        <f>K161-F161</f>
        <v>0</v>
      </c>
      <c r="M161" s="22"/>
      <c r="N161" s="238"/>
      <c r="O161" s="197"/>
      <c r="P161" s="22">
        <v>1500000</v>
      </c>
      <c r="Q161" s="22">
        <v>1500000</v>
      </c>
      <c r="R161" s="161">
        <v>1500000</v>
      </c>
      <c r="S161" s="7"/>
    </row>
    <row r="162" spans="1:19" ht="15" outlineLevel="1">
      <c r="A162" s="7" t="s">
        <v>216</v>
      </c>
      <c r="B162" s="239" t="s">
        <v>217</v>
      </c>
      <c r="C162" s="22">
        <v>210000</v>
      </c>
      <c r="D162" s="22"/>
      <c r="E162" s="22">
        <v>210000</v>
      </c>
      <c r="F162" s="210">
        <v>210000</v>
      </c>
      <c r="G162" s="22">
        <f>IF(ISNA(VLOOKUP(A162,Agresso!$A$2:$G$118,7,FALSE)),0,(VLOOKUP(A162,Agresso!$A$2:$G$118,7,FALSE)))</f>
        <v>35572.39</v>
      </c>
      <c r="H162" s="22">
        <v>35000</v>
      </c>
      <c r="I162" s="22">
        <f>G162-H162</f>
        <v>572.3899999999994</v>
      </c>
      <c r="J162" s="180">
        <f>G162/E162</f>
        <v>0.16939233333333334</v>
      </c>
      <c r="K162" s="22">
        <f aca="true" t="shared" si="24" ref="K162:K192">E162</f>
        <v>210000</v>
      </c>
      <c r="L162" s="22">
        <f aca="true" t="shared" si="25" ref="L162:L192">K162-F162</f>
        <v>0</v>
      </c>
      <c r="M162" s="22"/>
      <c r="N162" s="238"/>
      <c r="O162" s="197"/>
      <c r="P162" s="22">
        <v>210000</v>
      </c>
      <c r="Q162" s="22">
        <v>210000</v>
      </c>
      <c r="R162" s="161">
        <v>210000</v>
      </c>
      <c r="S162" s="7"/>
    </row>
    <row r="163" spans="1:19" ht="15" outlineLevel="1">
      <c r="A163" s="7" t="s">
        <v>218</v>
      </c>
      <c r="B163" s="239" t="s">
        <v>219</v>
      </c>
      <c r="C163" s="22">
        <v>200000</v>
      </c>
      <c r="D163" s="22"/>
      <c r="E163" s="22">
        <v>200000</v>
      </c>
      <c r="F163" s="210">
        <v>200000</v>
      </c>
      <c r="G163" s="22">
        <f>IF(ISNA(VLOOKUP(A163,Agresso!$A$2:$G$118,7,FALSE)),0,(VLOOKUP(A163,Agresso!$A$2:$G$118,7,FALSE)))</f>
        <v>6632.66</v>
      </c>
      <c r="H163" s="22">
        <f>VLOOKUP(A163,Profiles!$A:$F,6,FALSE)</f>
        <v>0</v>
      </c>
      <c r="I163" s="22">
        <f>G163-H163</f>
        <v>6632.66</v>
      </c>
      <c r="J163" s="180">
        <f>G163/E163</f>
        <v>0.0331633</v>
      </c>
      <c r="K163" s="22">
        <f t="shared" si="24"/>
        <v>200000</v>
      </c>
      <c r="L163" s="22">
        <f t="shared" si="25"/>
        <v>0</v>
      </c>
      <c r="M163" s="22"/>
      <c r="N163" s="238"/>
      <c r="O163" s="197"/>
      <c r="P163" s="22">
        <v>200000</v>
      </c>
      <c r="Q163" s="22">
        <v>200000</v>
      </c>
      <c r="R163" s="161">
        <v>200000</v>
      </c>
      <c r="S163" s="7"/>
    </row>
    <row r="164" spans="1:19" ht="15" outlineLevel="1">
      <c r="A164" s="7" t="s">
        <v>220</v>
      </c>
      <c r="B164" s="239" t="s">
        <v>221</v>
      </c>
      <c r="C164" s="22">
        <v>250000</v>
      </c>
      <c r="D164" s="22"/>
      <c r="E164" s="22">
        <v>250000</v>
      </c>
      <c r="F164" s="210">
        <v>250000</v>
      </c>
      <c r="G164" s="22">
        <f>IF(ISNA(VLOOKUP(A164,Agresso!$A$2:$G$118,7,FALSE)),0,(VLOOKUP(A164,Agresso!$A$2:$G$118,7,FALSE)))</f>
        <v>35898.59</v>
      </c>
      <c r="H164" s="22">
        <v>35000</v>
      </c>
      <c r="I164" s="22">
        <f>G164-H164</f>
        <v>898.5899999999965</v>
      </c>
      <c r="J164" s="180">
        <f>G164/E164</f>
        <v>0.14359435999999998</v>
      </c>
      <c r="K164" s="22">
        <f t="shared" si="24"/>
        <v>250000</v>
      </c>
      <c r="L164" s="22">
        <f t="shared" si="25"/>
        <v>0</v>
      </c>
      <c r="M164" s="22"/>
      <c r="N164" s="238"/>
      <c r="O164" s="197"/>
      <c r="P164" s="22">
        <v>250000</v>
      </c>
      <c r="Q164" s="22">
        <v>250000</v>
      </c>
      <c r="R164" s="161">
        <v>250000</v>
      </c>
      <c r="S164" s="7"/>
    </row>
    <row r="165" spans="1:19" ht="15" outlineLevel="1">
      <c r="A165" s="7" t="s">
        <v>222</v>
      </c>
      <c r="B165" s="239"/>
      <c r="C165" s="22"/>
      <c r="D165" s="22"/>
      <c r="E165" s="22"/>
      <c r="F165" s="210"/>
      <c r="G165" s="22"/>
      <c r="H165" s="22"/>
      <c r="I165" s="22"/>
      <c r="J165" s="180"/>
      <c r="K165" s="180"/>
      <c r="L165" s="22"/>
      <c r="M165" s="22"/>
      <c r="N165" s="238"/>
      <c r="O165" s="197"/>
      <c r="P165" s="22"/>
      <c r="Q165" s="22"/>
      <c r="R165" s="161"/>
      <c r="S165" s="7"/>
    </row>
    <row r="166" spans="1:19" ht="15" outlineLevel="1">
      <c r="A166" s="7" t="s">
        <v>224</v>
      </c>
      <c r="B166" s="239" t="s">
        <v>225</v>
      </c>
      <c r="C166" s="22">
        <v>19000</v>
      </c>
      <c r="D166" s="22"/>
      <c r="E166" s="22">
        <v>19000</v>
      </c>
      <c r="F166" s="210">
        <v>19000</v>
      </c>
      <c r="G166" s="22">
        <f>IF(ISNA(VLOOKUP(A166,Agresso!$A$2:$G$118,7,FALSE)),0,(VLOOKUP(A166,Agresso!$A$2:$G$118,7,FALSE)))</f>
        <v>15.73</v>
      </c>
      <c r="H166" s="22">
        <v>500</v>
      </c>
      <c r="I166" s="22">
        <f>G166-H166</f>
        <v>-484.27</v>
      </c>
      <c r="J166" s="180">
        <f>G166/E166</f>
        <v>0.0008278947368421053</v>
      </c>
      <c r="K166" s="22">
        <f t="shared" si="24"/>
        <v>19000</v>
      </c>
      <c r="L166" s="22">
        <f t="shared" si="25"/>
        <v>0</v>
      </c>
      <c r="M166" s="22"/>
      <c r="N166" s="238"/>
      <c r="O166" s="197"/>
      <c r="P166" s="22">
        <v>19000</v>
      </c>
      <c r="Q166" s="22">
        <v>19000</v>
      </c>
      <c r="R166" s="161">
        <v>19000</v>
      </c>
      <c r="S166" s="7"/>
    </row>
    <row r="167" spans="1:19" ht="15" outlineLevel="1">
      <c r="A167" s="7"/>
      <c r="B167" s="239"/>
      <c r="C167" s="22"/>
      <c r="D167" s="22"/>
      <c r="E167" s="22"/>
      <c r="F167" s="210"/>
      <c r="G167" s="22"/>
      <c r="H167" s="22"/>
      <c r="I167" s="22"/>
      <c r="J167" s="180"/>
      <c r="K167" s="180"/>
      <c r="L167" s="22"/>
      <c r="M167" s="22"/>
      <c r="N167" s="238"/>
      <c r="O167" s="197"/>
      <c r="P167" s="22"/>
      <c r="Q167" s="22"/>
      <c r="R167" s="161"/>
      <c r="S167" s="7"/>
    </row>
    <row r="168" spans="1:19" ht="15" outlineLevel="1">
      <c r="A168" s="7" t="s">
        <v>226</v>
      </c>
      <c r="B168" s="239" t="s">
        <v>227</v>
      </c>
      <c r="C168" s="22">
        <v>250000</v>
      </c>
      <c r="D168" s="22"/>
      <c r="E168" s="22">
        <v>250000</v>
      </c>
      <c r="F168" s="210">
        <v>250000</v>
      </c>
      <c r="G168" s="22">
        <f>IF(ISNA(VLOOKUP(A168,Agresso!$A$2:$G$118,7,FALSE)),0,(VLOOKUP(A168,Agresso!$A$2:$G$118,7,FALSE)))</f>
        <v>3719.08</v>
      </c>
      <c r="H168" s="22">
        <f>VLOOKUP(A168,Profiles!$A:$F,6,FALSE)</f>
        <v>0</v>
      </c>
      <c r="I168" s="22">
        <f>G168-H168</f>
        <v>3719.08</v>
      </c>
      <c r="J168" s="180">
        <f aca="true" t="shared" si="26" ref="J168:J175">G168/E168</f>
        <v>0.01487632</v>
      </c>
      <c r="K168" s="22">
        <f t="shared" si="24"/>
        <v>250000</v>
      </c>
      <c r="L168" s="22">
        <f t="shared" si="25"/>
        <v>0</v>
      </c>
      <c r="M168" s="22"/>
      <c r="N168" s="238"/>
      <c r="O168" s="197"/>
      <c r="P168" s="22">
        <v>250000</v>
      </c>
      <c r="Q168" s="22">
        <v>250000</v>
      </c>
      <c r="R168" s="161">
        <v>250000</v>
      </c>
      <c r="S168" s="7"/>
    </row>
    <row r="169" spans="1:19" ht="15" outlineLevel="1">
      <c r="A169" s="7" t="s">
        <v>228</v>
      </c>
      <c r="B169" s="239" t="s">
        <v>229</v>
      </c>
      <c r="C169" s="22">
        <v>90000</v>
      </c>
      <c r="D169" s="22"/>
      <c r="E169" s="22">
        <v>90000</v>
      </c>
      <c r="F169" s="210">
        <v>90000</v>
      </c>
      <c r="G169" s="22">
        <f>IF(ISNA(VLOOKUP(A169,Agresso!$A$2:$G$118,7,FALSE)),0,(VLOOKUP(A169,Agresso!$A$2:$G$118,7,FALSE)))</f>
        <v>56128.01</v>
      </c>
      <c r="H169" s="22">
        <v>55000</v>
      </c>
      <c r="I169" s="22">
        <f>G169-H169</f>
        <v>1128.010000000002</v>
      </c>
      <c r="J169" s="180">
        <f t="shared" si="26"/>
        <v>0.6236445555555555</v>
      </c>
      <c r="K169" s="22">
        <f t="shared" si="24"/>
        <v>90000</v>
      </c>
      <c r="L169" s="22">
        <f t="shared" si="25"/>
        <v>0</v>
      </c>
      <c r="M169" s="22"/>
      <c r="N169" s="238"/>
      <c r="O169" s="197"/>
      <c r="P169" s="22">
        <v>90000</v>
      </c>
      <c r="Q169" s="22">
        <v>90000</v>
      </c>
      <c r="R169" s="161">
        <v>90000</v>
      </c>
      <c r="S169" s="7"/>
    </row>
    <row r="170" spans="1:18" ht="15" outlineLevel="1">
      <c r="A170" s="7" t="s">
        <v>230</v>
      </c>
      <c r="B170" s="239" t="s">
        <v>231</v>
      </c>
      <c r="C170" s="22">
        <v>150000</v>
      </c>
      <c r="D170" s="22"/>
      <c r="E170" s="22">
        <v>150000</v>
      </c>
      <c r="F170" s="210">
        <v>150000</v>
      </c>
      <c r="G170" s="22">
        <f>IF(ISNA(VLOOKUP(A170,Agresso!$A$2:$G$118,7,FALSE)),0,(VLOOKUP(A170,Agresso!$A$2:$G$118,7,FALSE)))</f>
        <v>50693.46</v>
      </c>
      <c r="H170" s="22">
        <v>50000</v>
      </c>
      <c r="I170" s="22">
        <f>G170-H170</f>
        <v>693.4599999999991</v>
      </c>
      <c r="J170" s="180">
        <f t="shared" si="26"/>
        <v>0.3379564</v>
      </c>
      <c r="K170" s="22">
        <f t="shared" si="24"/>
        <v>150000</v>
      </c>
      <c r="L170" s="22">
        <f t="shared" si="25"/>
        <v>0</v>
      </c>
      <c r="M170" s="22"/>
      <c r="N170" s="238"/>
      <c r="O170" s="197"/>
      <c r="P170" s="22">
        <v>150000</v>
      </c>
      <c r="Q170" s="22">
        <v>150000</v>
      </c>
      <c r="R170" s="161">
        <v>150000</v>
      </c>
    </row>
    <row r="171" spans="1:18" ht="15" outlineLevel="1">
      <c r="A171" s="7" t="s">
        <v>232</v>
      </c>
      <c r="B171" s="239" t="s">
        <v>233</v>
      </c>
      <c r="C171" s="22">
        <v>125000</v>
      </c>
      <c r="D171" s="22"/>
      <c r="E171" s="22">
        <v>125000</v>
      </c>
      <c r="F171" s="210">
        <v>125000</v>
      </c>
      <c r="G171" s="22">
        <f>IF(ISNA(VLOOKUP(A171,Agresso!$A$2:$G$118,7,FALSE)),0,(VLOOKUP(A171,Agresso!$A$2:$G$118,7,FALSE)))</f>
        <v>54205.94</v>
      </c>
      <c r="H171" s="22">
        <v>55000</v>
      </c>
      <c r="I171" s="22">
        <f>G171-H171</f>
        <v>-794.0599999999977</v>
      </c>
      <c r="J171" s="180">
        <f t="shared" si="26"/>
        <v>0.43364752</v>
      </c>
      <c r="K171" s="22">
        <f t="shared" si="24"/>
        <v>125000</v>
      </c>
      <c r="L171" s="22">
        <f t="shared" si="25"/>
        <v>0</v>
      </c>
      <c r="M171" s="22"/>
      <c r="N171" s="238"/>
      <c r="O171" s="197"/>
      <c r="P171" s="22">
        <v>125000</v>
      </c>
      <c r="Q171" s="22">
        <v>125000</v>
      </c>
      <c r="R171" s="161">
        <v>125000</v>
      </c>
    </row>
    <row r="172" spans="1:18" ht="15" outlineLevel="1">
      <c r="A172" s="7" t="s">
        <v>236</v>
      </c>
      <c r="B172" s="239" t="s">
        <v>237</v>
      </c>
      <c r="C172" s="22"/>
      <c r="D172" s="22"/>
      <c r="E172" s="22"/>
      <c r="F172" s="210"/>
      <c r="G172" s="22"/>
      <c r="H172" s="22"/>
      <c r="I172" s="22"/>
      <c r="J172" s="22"/>
      <c r="K172" s="22"/>
      <c r="L172" s="22"/>
      <c r="M172" s="22"/>
      <c r="N172" s="238"/>
      <c r="O172" s="197"/>
      <c r="P172" s="22"/>
      <c r="Q172" s="22"/>
      <c r="R172" s="161"/>
    </row>
    <row r="173" spans="1:18" ht="15" outlineLevel="1">
      <c r="A173" s="7" t="s">
        <v>240</v>
      </c>
      <c r="B173" s="239" t="s">
        <v>241</v>
      </c>
      <c r="C173" s="22">
        <v>117000</v>
      </c>
      <c r="D173" s="22"/>
      <c r="E173" s="22">
        <v>117000</v>
      </c>
      <c r="F173" s="210">
        <v>117000</v>
      </c>
      <c r="G173" s="22">
        <f>IF(ISNA(VLOOKUP(A173,Agresso!$A$2:$G$118,7,FALSE)),0,(VLOOKUP(A173,Agresso!$A$2:$G$118,7,FALSE)))</f>
        <v>0</v>
      </c>
      <c r="H173" s="22">
        <f>VLOOKUP(A173,Profiles!$A:$F,6,FALSE)</f>
        <v>0</v>
      </c>
      <c r="I173" s="22">
        <f>G173-H173</f>
        <v>0</v>
      </c>
      <c r="J173" s="180">
        <f t="shared" si="26"/>
        <v>0</v>
      </c>
      <c r="K173" s="22">
        <f t="shared" si="24"/>
        <v>117000</v>
      </c>
      <c r="L173" s="22">
        <f t="shared" si="25"/>
        <v>0</v>
      </c>
      <c r="M173" s="22"/>
      <c r="N173" s="238"/>
      <c r="O173" s="197"/>
      <c r="P173" s="22">
        <v>117000</v>
      </c>
      <c r="Q173" s="22">
        <v>117000</v>
      </c>
      <c r="R173" s="161">
        <v>117000</v>
      </c>
    </row>
    <row r="174" spans="1:18" ht="15" outlineLevel="1">
      <c r="A174" s="7" t="s">
        <v>242</v>
      </c>
      <c r="B174" s="239" t="s">
        <v>243</v>
      </c>
      <c r="C174" s="22">
        <v>150000</v>
      </c>
      <c r="D174" s="22"/>
      <c r="E174" s="22">
        <v>150000</v>
      </c>
      <c r="F174" s="210">
        <v>150000</v>
      </c>
      <c r="G174" s="22">
        <f>IF(ISNA(VLOOKUP(A174,Agresso!$A$2:$G$118,7,FALSE)),0,(VLOOKUP(A174,Agresso!$A$2:$G$118,7,FALSE)))</f>
        <v>0</v>
      </c>
      <c r="H174" s="22">
        <f>VLOOKUP(A174,Profiles!$A:$F,6,FALSE)</f>
        <v>0</v>
      </c>
      <c r="I174" s="22">
        <f>G174-H174</f>
        <v>0</v>
      </c>
      <c r="J174" s="180">
        <f t="shared" si="26"/>
        <v>0</v>
      </c>
      <c r="K174" s="22">
        <f t="shared" si="24"/>
        <v>150000</v>
      </c>
      <c r="L174" s="22">
        <f t="shared" si="25"/>
        <v>0</v>
      </c>
      <c r="M174" s="22"/>
      <c r="N174" s="238"/>
      <c r="O174" s="197"/>
      <c r="P174" s="22">
        <v>150000</v>
      </c>
      <c r="Q174" s="22">
        <v>150000</v>
      </c>
      <c r="R174" s="161">
        <v>150000</v>
      </c>
    </row>
    <row r="175" spans="1:18" ht="15" outlineLevel="1">
      <c r="A175" s="7" t="s">
        <v>244</v>
      </c>
      <c r="B175" s="239" t="s">
        <v>245</v>
      </c>
      <c r="C175" s="22">
        <v>100000</v>
      </c>
      <c r="D175" s="22"/>
      <c r="E175" s="22">
        <v>100000</v>
      </c>
      <c r="F175" s="210">
        <v>100000</v>
      </c>
      <c r="G175" s="22">
        <f>IF(ISNA(VLOOKUP(A175,Agresso!$A$2:$G$118,7,FALSE)),0,(VLOOKUP(A175,Agresso!$A$2:$G$118,7,FALSE)))</f>
        <v>0</v>
      </c>
      <c r="H175" s="22">
        <f>VLOOKUP(A175,Profiles!$A:$F,6,FALSE)</f>
        <v>0</v>
      </c>
      <c r="I175" s="22">
        <f>G175-H175</f>
        <v>0</v>
      </c>
      <c r="J175" s="180">
        <f t="shared" si="26"/>
        <v>0</v>
      </c>
      <c r="K175" s="22">
        <f t="shared" si="24"/>
        <v>100000</v>
      </c>
      <c r="L175" s="22">
        <f t="shared" si="25"/>
        <v>0</v>
      </c>
      <c r="M175" s="22"/>
      <c r="N175" s="238"/>
      <c r="O175" s="197"/>
      <c r="P175" s="22">
        <v>100000</v>
      </c>
      <c r="Q175" s="22">
        <v>100000</v>
      </c>
      <c r="R175" s="161">
        <v>100000</v>
      </c>
    </row>
    <row r="176" spans="1:18" ht="15" outlineLevel="1">
      <c r="A176" s="7"/>
      <c r="B176" s="239"/>
      <c r="C176" s="22"/>
      <c r="D176" s="22"/>
      <c r="E176" s="22"/>
      <c r="F176" s="210"/>
      <c r="G176" s="22"/>
      <c r="H176" s="22"/>
      <c r="I176" s="22"/>
      <c r="J176" s="180"/>
      <c r="K176" s="22"/>
      <c r="L176" s="22"/>
      <c r="M176" s="22"/>
      <c r="N176" s="238"/>
      <c r="O176" s="197"/>
      <c r="P176" s="22"/>
      <c r="Q176" s="22"/>
      <c r="R176" s="161"/>
    </row>
    <row r="177" spans="1:18" ht="15" outlineLevel="1">
      <c r="A177" s="7" t="s">
        <v>246</v>
      </c>
      <c r="B177" s="243" t="s">
        <v>247</v>
      </c>
      <c r="C177" s="22"/>
      <c r="D177" s="22"/>
      <c r="E177" s="22"/>
      <c r="F177" s="210"/>
      <c r="G177" s="22"/>
      <c r="H177" s="22"/>
      <c r="I177" s="22"/>
      <c r="J177" s="180"/>
      <c r="K177" s="22"/>
      <c r="L177" s="22"/>
      <c r="M177" s="22"/>
      <c r="N177" s="238"/>
      <c r="O177" s="197"/>
      <c r="P177" s="22"/>
      <c r="Q177" s="22"/>
      <c r="R177" s="161"/>
    </row>
    <row r="178" spans="1:18" ht="15" outlineLevel="1">
      <c r="A178" s="7" t="s">
        <v>252</v>
      </c>
      <c r="B178" s="239" t="s">
        <v>253</v>
      </c>
      <c r="C178" s="22">
        <v>7744000</v>
      </c>
      <c r="D178" s="22"/>
      <c r="E178" s="22">
        <v>7744000</v>
      </c>
      <c r="F178" s="210">
        <v>7744000</v>
      </c>
      <c r="G178" s="22">
        <f>IF(ISNA(VLOOKUP(A178,Agresso!$A$2:$G$118,7,FALSE)),0,(VLOOKUP(A178,Agresso!$A$2:$G$118,7,FALSE)))</f>
        <v>55307.87</v>
      </c>
      <c r="H178" s="22">
        <v>40000</v>
      </c>
      <c r="I178" s="22">
        <f>G178-H178</f>
        <v>15307.870000000003</v>
      </c>
      <c r="J178" s="188">
        <f>G178/E178</f>
        <v>0.007142028667355372</v>
      </c>
      <c r="K178" s="22">
        <f t="shared" si="24"/>
        <v>7744000</v>
      </c>
      <c r="L178" s="22">
        <f t="shared" si="25"/>
        <v>0</v>
      </c>
      <c r="M178" s="22"/>
      <c r="N178" s="238"/>
      <c r="O178" s="197"/>
      <c r="P178" s="22">
        <v>9366000</v>
      </c>
      <c r="Q178" s="22">
        <v>348000</v>
      </c>
      <c r="R178" s="161">
        <v>12000</v>
      </c>
    </row>
    <row r="179" spans="1:18" ht="15" outlineLevel="1">
      <c r="A179" s="7" t="s">
        <v>422</v>
      </c>
      <c r="B179" s="239" t="s">
        <v>472</v>
      </c>
      <c r="C179" s="22">
        <v>650000</v>
      </c>
      <c r="D179" s="22"/>
      <c r="E179" s="22">
        <v>650000</v>
      </c>
      <c r="F179" s="210">
        <v>650000</v>
      </c>
      <c r="G179" s="22">
        <f>IF(ISNA(VLOOKUP(A179,Agresso!$A$2:$G$118,7,FALSE)),0,(VLOOKUP(A179,Agresso!$A$2:$G$118,7,FALSE)))</f>
        <v>0</v>
      </c>
      <c r="H179" s="22">
        <f>VLOOKUP(A179,Profiles!$A:$F,6,FALSE)</f>
        <v>0</v>
      </c>
      <c r="I179" s="22">
        <f>G179-H179</f>
        <v>0</v>
      </c>
      <c r="J179" s="180">
        <f>G179/E179</f>
        <v>0</v>
      </c>
      <c r="K179" s="22">
        <f t="shared" si="24"/>
        <v>650000</v>
      </c>
      <c r="L179" s="22">
        <f t="shared" si="25"/>
        <v>0</v>
      </c>
      <c r="M179" s="22"/>
      <c r="N179" s="238"/>
      <c r="O179" s="197"/>
      <c r="P179" s="22">
        <v>2500000</v>
      </c>
      <c r="Q179" s="22">
        <v>3380000</v>
      </c>
      <c r="R179" s="161">
        <v>13500000</v>
      </c>
    </row>
    <row r="180" spans="1:18" ht="15" outlineLevel="1">
      <c r="A180" s="7"/>
      <c r="B180" s="239"/>
      <c r="C180" s="22"/>
      <c r="D180" s="22"/>
      <c r="E180" s="22"/>
      <c r="F180" s="210"/>
      <c r="G180" s="22"/>
      <c r="H180" s="22"/>
      <c r="I180" s="22"/>
      <c r="J180" s="180"/>
      <c r="K180" s="22"/>
      <c r="L180" s="22"/>
      <c r="M180" s="22"/>
      <c r="N180" s="238"/>
      <c r="O180" s="197"/>
      <c r="P180" s="22"/>
      <c r="Q180" s="22"/>
      <c r="R180" s="161"/>
    </row>
    <row r="181" spans="1:18" ht="15" outlineLevel="1">
      <c r="A181" s="7"/>
      <c r="B181" s="239"/>
      <c r="C181" s="22"/>
      <c r="D181" s="22"/>
      <c r="E181" s="22"/>
      <c r="F181" s="210"/>
      <c r="G181" s="22"/>
      <c r="H181" s="22"/>
      <c r="I181" s="22"/>
      <c r="J181" s="180"/>
      <c r="K181" s="180"/>
      <c r="L181" s="22"/>
      <c r="M181" s="22"/>
      <c r="N181" s="238"/>
      <c r="O181" s="197"/>
      <c r="P181" s="22"/>
      <c r="Q181" s="22"/>
      <c r="R181" s="161"/>
    </row>
    <row r="182" spans="1:18" ht="15" outlineLevel="1">
      <c r="A182" s="7" t="s">
        <v>424</v>
      </c>
      <c r="B182" s="239" t="s">
        <v>473</v>
      </c>
      <c r="C182" s="22">
        <v>500000</v>
      </c>
      <c r="D182" s="22"/>
      <c r="E182" s="22">
        <v>500000</v>
      </c>
      <c r="F182" s="210">
        <v>500000</v>
      </c>
      <c r="G182" s="22">
        <f>IF(ISNA(VLOOKUP(A182,Agresso!$A$2:$G$118,7,FALSE)),0,(VLOOKUP(A182,Agresso!$A$2:$G$118,7,FALSE)))</f>
        <v>19125</v>
      </c>
      <c r="H182" s="22">
        <f>VLOOKUP(A182,Profiles!$A:$F,6,FALSE)</f>
        <v>20000</v>
      </c>
      <c r="I182" s="22">
        <f>G182-H182</f>
        <v>-875</v>
      </c>
      <c r="J182" s="180">
        <f>G182/E182</f>
        <v>0.03825</v>
      </c>
      <c r="K182" s="22">
        <f t="shared" si="24"/>
        <v>500000</v>
      </c>
      <c r="L182" s="22">
        <f t="shared" si="25"/>
        <v>0</v>
      </c>
      <c r="M182" s="22"/>
      <c r="N182" s="238"/>
      <c r="O182" s="197"/>
      <c r="P182" s="22">
        <v>500000</v>
      </c>
      <c r="Q182" s="22">
        <v>500000</v>
      </c>
      <c r="R182" s="22">
        <v>500000</v>
      </c>
    </row>
    <row r="183" spans="1:18" ht="15" outlineLevel="1">
      <c r="A183" s="7" t="s">
        <v>420</v>
      </c>
      <c r="B183" s="239" t="s">
        <v>471</v>
      </c>
      <c r="C183" s="22">
        <v>2200000</v>
      </c>
      <c r="D183" s="22"/>
      <c r="E183" s="22">
        <v>2200000</v>
      </c>
      <c r="F183" s="210">
        <v>2200000</v>
      </c>
      <c r="G183" s="22">
        <f>IF(ISNA(VLOOKUP(A183,Agresso!$A$2:$G$118,7,FALSE)),0,(VLOOKUP(A183,Agresso!$A$2:$G$118,7,FALSE)))</f>
        <v>0</v>
      </c>
      <c r="H183" s="22">
        <f>VLOOKUP(A183,Profiles!$A:$F,6,FALSE)</f>
        <v>0</v>
      </c>
      <c r="I183" s="22">
        <f>G183-H183</f>
        <v>0</v>
      </c>
      <c r="J183" s="180">
        <f>G183/E183</f>
        <v>0</v>
      </c>
      <c r="K183" s="22">
        <f t="shared" si="24"/>
        <v>2200000</v>
      </c>
      <c r="L183" s="22">
        <f t="shared" si="25"/>
        <v>0</v>
      </c>
      <c r="M183" s="22"/>
      <c r="N183" s="238"/>
      <c r="O183" s="197"/>
      <c r="P183" s="22"/>
      <c r="Q183" s="22"/>
      <c r="R183" s="161"/>
    </row>
    <row r="184" spans="1:18" ht="15" outlineLevel="1">
      <c r="A184" s="7"/>
      <c r="B184" s="239" t="s">
        <v>594</v>
      </c>
      <c r="C184" s="22"/>
      <c r="D184" s="22"/>
      <c r="E184" s="22"/>
      <c r="F184" s="210"/>
      <c r="G184" s="22"/>
      <c r="H184" s="22"/>
      <c r="I184" s="22"/>
      <c r="J184" s="180"/>
      <c r="K184" s="180"/>
      <c r="L184" s="22"/>
      <c r="M184" s="22"/>
      <c r="N184" s="238"/>
      <c r="O184" s="197"/>
      <c r="P184" s="22"/>
      <c r="Q184" s="22">
        <v>1500000</v>
      </c>
      <c r="R184" s="161"/>
    </row>
    <row r="185" spans="1:18" ht="15" outlineLevel="1">
      <c r="A185" s="7"/>
      <c r="B185" s="239"/>
      <c r="C185" s="22"/>
      <c r="D185" s="22"/>
      <c r="E185" s="22"/>
      <c r="F185" s="210"/>
      <c r="G185" s="22"/>
      <c r="H185" s="22"/>
      <c r="I185" s="22"/>
      <c r="J185" s="180"/>
      <c r="K185" s="180"/>
      <c r="L185" s="22"/>
      <c r="M185" s="22"/>
      <c r="N185" s="238"/>
      <c r="O185" s="197"/>
      <c r="P185" s="22"/>
      <c r="Q185" s="22"/>
      <c r="R185" s="161"/>
    </row>
    <row r="186" spans="1:18" ht="15" outlineLevel="1">
      <c r="A186" s="7" t="s">
        <v>254</v>
      </c>
      <c r="B186" s="243" t="s">
        <v>255</v>
      </c>
      <c r="C186" s="22"/>
      <c r="D186" s="22"/>
      <c r="E186" s="22"/>
      <c r="F186" s="210"/>
      <c r="G186" s="22"/>
      <c r="H186" s="22"/>
      <c r="I186" s="22"/>
      <c r="J186" s="180"/>
      <c r="K186" s="180"/>
      <c r="L186" s="22"/>
      <c r="M186" s="22"/>
      <c r="N186" s="238"/>
      <c r="O186" s="197"/>
      <c r="P186" s="22"/>
      <c r="Q186" s="22"/>
      <c r="R186" s="161"/>
    </row>
    <row r="187" spans="1:18" ht="15" outlineLevel="1">
      <c r="A187" s="7"/>
      <c r="B187" s="239"/>
      <c r="C187" s="22"/>
      <c r="D187" s="22"/>
      <c r="E187" s="22"/>
      <c r="F187" s="210"/>
      <c r="G187" s="22"/>
      <c r="H187" s="22"/>
      <c r="I187" s="22"/>
      <c r="J187" s="180"/>
      <c r="K187" s="180"/>
      <c r="L187" s="22"/>
      <c r="M187" s="22"/>
      <c r="N187" s="238"/>
      <c r="O187" s="197"/>
      <c r="P187" s="22"/>
      <c r="Q187" s="22"/>
      <c r="R187" s="161"/>
    </row>
    <row r="188" spans="1:18" ht="15" outlineLevel="1">
      <c r="A188" s="7" t="s">
        <v>256</v>
      </c>
      <c r="B188" s="239" t="s">
        <v>257</v>
      </c>
      <c r="C188" s="22">
        <v>900000</v>
      </c>
      <c r="D188" s="22"/>
      <c r="E188" s="22">
        <v>900000</v>
      </c>
      <c r="F188" s="210">
        <v>900000</v>
      </c>
      <c r="G188" s="22">
        <f>IF(ISNA(VLOOKUP(A188,Agresso!$A$2:$G$118,7,FALSE)),0,(VLOOKUP(A188,Agresso!$A$2:$G$118,7,FALSE)))</f>
        <v>149376.29</v>
      </c>
      <c r="H188" s="22">
        <f>VLOOKUP(A188,Profiles!$A:$F,6,FALSE)</f>
        <v>226080</v>
      </c>
      <c r="I188" s="22">
        <f>G188-H188</f>
        <v>-76703.70999999999</v>
      </c>
      <c r="J188" s="180">
        <f>G188/E188</f>
        <v>0.16597365555555557</v>
      </c>
      <c r="K188" s="22">
        <f t="shared" si="24"/>
        <v>900000</v>
      </c>
      <c r="L188" s="22">
        <f t="shared" si="25"/>
        <v>0</v>
      </c>
      <c r="M188" s="22"/>
      <c r="N188" s="238"/>
      <c r="O188" s="197"/>
      <c r="P188" s="22">
        <v>900000</v>
      </c>
      <c r="Q188" s="22">
        <v>900000</v>
      </c>
      <c r="R188" s="161">
        <v>900000</v>
      </c>
    </row>
    <row r="189" spans="1:18" ht="15" outlineLevel="1">
      <c r="A189" s="7" t="s">
        <v>258</v>
      </c>
      <c r="B189" s="239" t="s">
        <v>259</v>
      </c>
      <c r="C189" s="22">
        <v>2073000</v>
      </c>
      <c r="D189" s="22"/>
      <c r="E189" s="22">
        <v>2073000</v>
      </c>
      <c r="F189" s="210">
        <v>2073000</v>
      </c>
      <c r="G189" s="22">
        <f>IF(ISNA(VLOOKUP(A189,Agresso!$A$2:$G$118,7,FALSE)),0,(VLOOKUP(A189,Agresso!$A$2:$G$118,7,FALSE)))</f>
        <v>556865.71</v>
      </c>
      <c r="H189" s="22">
        <f>VLOOKUP(A189,Profiles!$A:$F,6,FALSE)</f>
        <v>503117.1</v>
      </c>
      <c r="I189" s="22">
        <f>G189-H189</f>
        <v>53748.609999999986</v>
      </c>
      <c r="J189" s="180">
        <f>G189/E189</f>
        <v>0.2686279353593825</v>
      </c>
      <c r="K189" s="22">
        <f t="shared" si="24"/>
        <v>2073000</v>
      </c>
      <c r="L189" s="22">
        <f t="shared" si="25"/>
        <v>0</v>
      </c>
      <c r="M189" s="22"/>
      <c r="N189" s="238"/>
      <c r="O189" s="197"/>
      <c r="P189" s="22">
        <v>2073000</v>
      </c>
      <c r="Q189" s="22">
        <v>1892000</v>
      </c>
      <c r="R189" s="161">
        <v>1743000</v>
      </c>
    </row>
    <row r="190" spans="1:18" ht="15" outlineLevel="1">
      <c r="A190" s="7" t="s">
        <v>260</v>
      </c>
      <c r="B190" s="239" t="s">
        <v>261</v>
      </c>
      <c r="C190" s="22">
        <v>1221000</v>
      </c>
      <c r="D190" s="22"/>
      <c r="E190" s="22">
        <v>1221000</v>
      </c>
      <c r="F190" s="210">
        <v>1221000</v>
      </c>
      <c r="G190" s="22">
        <f>IF(ISNA(VLOOKUP(A190,Agresso!$A$2:$G$118,7,FALSE)),0,(VLOOKUP(A190,Agresso!$A$2:$G$118,7,FALSE)))</f>
        <v>314453.54</v>
      </c>
      <c r="H190" s="22">
        <f>VLOOKUP(A190,Profiles!$A:$F,6,FALSE)</f>
        <v>282051</v>
      </c>
      <c r="I190" s="22">
        <f>G190-H190</f>
        <v>32402.53999999998</v>
      </c>
      <c r="J190" s="180">
        <f>G190/E190</f>
        <v>0.25753770679770677</v>
      </c>
      <c r="K190" s="22">
        <f t="shared" si="24"/>
        <v>1221000</v>
      </c>
      <c r="L190" s="22">
        <f t="shared" si="25"/>
        <v>0</v>
      </c>
      <c r="M190" s="22"/>
      <c r="N190" s="238"/>
      <c r="O190" s="197"/>
      <c r="P190" s="22">
        <v>1221000</v>
      </c>
      <c r="Q190" s="22">
        <v>1187000</v>
      </c>
      <c r="R190" s="161">
        <v>1221000</v>
      </c>
    </row>
    <row r="191" spans="1:18" ht="15" outlineLevel="1">
      <c r="A191" s="7" t="s">
        <v>262</v>
      </c>
      <c r="B191" s="239" t="s">
        <v>263</v>
      </c>
      <c r="C191" s="22">
        <v>820000</v>
      </c>
      <c r="D191" s="22"/>
      <c r="E191" s="22">
        <v>820000</v>
      </c>
      <c r="F191" s="210">
        <v>820000</v>
      </c>
      <c r="G191" s="22">
        <f>IF(ISNA(VLOOKUP(A191,Agresso!$A$2:$G$118,7,FALSE)),0,(VLOOKUP(A191,Agresso!$A$2:$G$118,7,FALSE)))</f>
        <v>160999.07</v>
      </c>
      <c r="H191" s="22">
        <f>VLOOKUP(A191,Profiles!$A:$F,6,FALSE)</f>
        <v>205984</v>
      </c>
      <c r="I191" s="22">
        <f>G191-H191</f>
        <v>-44984.92999999999</v>
      </c>
      <c r="J191" s="180">
        <f>G191/E191</f>
        <v>0.1963403292682927</v>
      </c>
      <c r="K191" s="22">
        <f t="shared" si="24"/>
        <v>820000</v>
      </c>
      <c r="L191" s="22">
        <f t="shared" si="25"/>
        <v>0</v>
      </c>
      <c r="M191" s="22"/>
      <c r="N191" s="238"/>
      <c r="O191" s="197"/>
      <c r="P191" s="22">
        <v>800000</v>
      </c>
      <c r="Q191" s="22">
        <v>776000</v>
      </c>
      <c r="R191" s="161">
        <v>716000</v>
      </c>
    </row>
    <row r="192" spans="1:18" ht="15" outlineLevel="1">
      <c r="A192" s="7" t="s">
        <v>264</v>
      </c>
      <c r="B192" s="239" t="s">
        <v>265</v>
      </c>
      <c r="C192" s="22">
        <v>785000</v>
      </c>
      <c r="D192" s="22"/>
      <c r="E192" s="22">
        <v>785000</v>
      </c>
      <c r="F192" s="210">
        <v>785000</v>
      </c>
      <c r="G192" s="22">
        <f>IF(ISNA(VLOOKUP(A192,Agresso!$A$2:$G$118,7,FALSE)),0,(VLOOKUP(A192,Agresso!$A$2:$G$118,7,FALSE)))</f>
        <v>75593.75</v>
      </c>
      <c r="H192" s="22">
        <f>VLOOKUP(A192,Profiles!$A:$F,6,FALSE)</f>
        <v>197192</v>
      </c>
      <c r="I192" s="22">
        <f>G192-H192</f>
        <v>-121598.25</v>
      </c>
      <c r="J192" s="180">
        <f>G192/E192</f>
        <v>0.09629777070063694</v>
      </c>
      <c r="K192" s="22">
        <f t="shared" si="24"/>
        <v>785000</v>
      </c>
      <c r="L192" s="22">
        <f t="shared" si="25"/>
        <v>0</v>
      </c>
      <c r="M192" s="22"/>
      <c r="N192" s="238"/>
      <c r="O192" s="197"/>
      <c r="P192" s="22">
        <v>726000</v>
      </c>
      <c r="Q192" s="22">
        <v>666000</v>
      </c>
      <c r="R192" s="161">
        <v>607000</v>
      </c>
    </row>
    <row r="193" spans="1:18" ht="15" outlineLevel="1">
      <c r="A193" s="7"/>
      <c r="B193" s="239"/>
      <c r="C193" s="22"/>
      <c r="D193" s="22"/>
      <c r="E193" s="22"/>
      <c r="F193" s="210"/>
      <c r="G193" s="22"/>
      <c r="H193" s="22"/>
      <c r="I193" s="22"/>
      <c r="J193" s="180"/>
      <c r="K193" s="22"/>
      <c r="L193" s="22"/>
      <c r="M193" s="22"/>
      <c r="N193" s="238"/>
      <c r="O193" s="197"/>
      <c r="P193" s="22"/>
      <c r="Q193" s="22"/>
      <c r="R193" s="161"/>
    </row>
    <row r="194" spans="1:18" ht="15">
      <c r="A194" s="9"/>
      <c r="B194" s="240" t="s">
        <v>266</v>
      </c>
      <c r="C194" s="18">
        <f>SUM(C161:C193)</f>
        <v>19054000</v>
      </c>
      <c r="D194" s="18">
        <v>0</v>
      </c>
      <c r="E194" s="18">
        <f>SUM(E161:E192)</f>
        <v>19054000</v>
      </c>
      <c r="F194" s="211">
        <f>SUM(F161:F192)</f>
        <v>19054000</v>
      </c>
      <c r="G194" s="18">
        <f>SUM(G161:G193)</f>
        <v>1577523.31</v>
      </c>
      <c r="H194" s="18">
        <f>SUM(H161:H193)</f>
        <v>1704924.1</v>
      </c>
      <c r="I194" s="18">
        <f>SUM(I161:I193)</f>
        <v>-127400.79000000002</v>
      </c>
      <c r="J194" s="2">
        <f>G194/E194</f>
        <v>0.08279223837514434</v>
      </c>
      <c r="K194" s="18">
        <f>SUM(K161:K192)</f>
        <v>19054000</v>
      </c>
      <c r="L194" s="18">
        <f>SUM(L161:L192)</f>
        <v>0</v>
      </c>
      <c r="M194" s="18">
        <f>SUM(M161:M192)</f>
        <v>0</v>
      </c>
      <c r="N194" s="241">
        <f>SUM(N161:N192)</f>
        <v>0</v>
      </c>
      <c r="O194" s="198"/>
      <c r="P194" s="18">
        <f>SUM(P161:P193)</f>
        <v>21247000</v>
      </c>
      <c r="Q194" s="18">
        <f>SUM(Q161:Q193)</f>
        <v>14310000</v>
      </c>
      <c r="R194" s="21">
        <f>SUM(R161:R193)</f>
        <v>22360000</v>
      </c>
    </row>
    <row r="195" spans="1:18" ht="15">
      <c r="A195" s="3"/>
      <c r="B195" s="239"/>
      <c r="C195" s="22"/>
      <c r="D195" s="22"/>
      <c r="E195" s="22"/>
      <c r="F195" s="210"/>
      <c r="G195" s="22"/>
      <c r="H195" s="22"/>
      <c r="I195" s="22"/>
      <c r="J195" s="180"/>
      <c r="K195" s="22"/>
      <c r="L195" s="22"/>
      <c r="M195" s="22"/>
      <c r="N195" s="238"/>
      <c r="O195" s="197"/>
      <c r="P195" s="22"/>
      <c r="Q195" s="22"/>
      <c r="R195" s="161"/>
    </row>
    <row r="196" spans="1:18" ht="15">
      <c r="A196" s="9"/>
      <c r="B196" s="240" t="s">
        <v>267</v>
      </c>
      <c r="C196" s="18">
        <f>C194+C158</f>
        <v>43388006</v>
      </c>
      <c r="D196" s="18">
        <f>D194+D158</f>
        <v>1077805.65</v>
      </c>
      <c r="E196" s="18">
        <f>E194+E158</f>
        <v>44478811.650000006</v>
      </c>
      <c r="F196" s="211">
        <f>F194+F158</f>
        <v>37695510</v>
      </c>
      <c r="G196" s="18">
        <f>G194+G158</f>
        <v>3120894.31</v>
      </c>
      <c r="H196" s="18">
        <f aca="true" t="shared" si="27" ref="H196:N196">H194+H158</f>
        <v>3325989.76</v>
      </c>
      <c r="I196" s="18">
        <f t="shared" si="27"/>
        <v>-205095.44999999998</v>
      </c>
      <c r="J196" s="2">
        <f>G196/E196</f>
        <v>0.07016586536884242</v>
      </c>
      <c r="K196" s="18">
        <f t="shared" si="27"/>
        <v>37570952.65</v>
      </c>
      <c r="L196" s="18">
        <f t="shared" si="27"/>
        <v>-124557.34999999999</v>
      </c>
      <c r="M196" s="18">
        <f t="shared" si="27"/>
        <v>-128278</v>
      </c>
      <c r="N196" s="241">
        <f t="shared" si="27"/>
        <v>3718.929999999993</v>
      </c>
      <c r="O196" s="198"/>
      <c r="P196" s="18">
        <f>P194+P158</f>
        <v>30741000</v>
      </c>
      <c r="Q196" s="18">
        <f>Q194+Q158</f>
        <v>18934000</v>
      </c>
      <c r="R196" s="21">
        <f>R194+R158</f>
        <v>25542000</v>
      </c>
    </row>
    <row r="197" spans="1:18" ht="15.75" thickBot="1">
      <c r="A197" s="3"/>
      <c r="B197" s="251"/>
      <c r="C197" s="252"/>
      <c r="D197" s="252"/>
      <c r="E197" s="252"/>
      <c r="F197" s="253"/>
      <c r="G197" s="252"/>
      <c r="H197" s="252"/>
      <c r="I197" s="252"/>
      <c r="J197" s="254"/>
      <c r="K197" s="252"/>
      <c r="L197" s="252"/>
      <c r="M197" s="252"/>
      <c r="N197" s="255"/>
      <c r="O197" s="202"/>
      <c r="P197" s="23"/>
      <c r="Q197" s="23"/>
      <c r="R197" s="165"/>
    </row>
    <row r="198" spans="1:18" ht="15" hidden="1">
      <c r="A198" s="3"/>
      <c r="B198" s="26" t="s">
        <v>268</v>
      </c>
      <c r="C198" s="23"/>
      <c r="D198" s="23"/>
      <c r="E198" s="23"/>
      <c r="F198" s="214"/>
      <c r="G198" s="23"/>
      <c r="H198" s="23"/>
      <c r="I198" s="23"/>
      <c r="J198" s="183"/>
      <c r="K198" s="23"/>
      <c r="L198" s="23"/>
      <c r="M198" s="23"/>
      <c r="N198" s="23"/>
      <c r="O198" s="202"/>
      <c r="P198" s="23"/>
      <c r="Q198" s="23"/>
      <c r="R198" s="165"/>
    </row>
    <row r="199" spans="1:18" ht="15" hidden="1">
      <c r="A199" s="3"/>
      <c r="B199" s="26"/>
      <c r="C199" s="23"/>
      <c r="D199" s="23"/>
      <c r="E199" s="23"/>
      <c r="F199" s="214"/>
      <c r="G199" s="23"/>
      <c r="H199" s="23"/>
      <c r="I199" s="23"/>
      <c r="J199" s="183"/>
      <c r="K199" s="23"/>
      <c r="L199" s="23"/>
      <c r="M199" s="23"/>
      <c r="N199" s="23"/>
      <c r="O199" s="202"/>
      <c r="P199" s="23"/>
      <c r="Q199" s="23"/>
      <c r="R199" s="165"/>
    </row>
    <row r="200" spans="1:18" ht="15" hidden="1">
      <c r="A200" s="3"/>
      <c r="B200" s="127" t="s">
        <v>589</v>
      </c>
      <c r="C200" s="23">
        <v>250000</v>
      </c>
      <c r="D200" s="23"/>
      <c r="E200" s="22">
        <v>250000</v>
      </c>
      <c r="F200" s="210"/>
      <c r="G200" s="18"/>
      <c r="H200" s="18"/>
      <c r="I200" s="18"/>
      <c r="J200" s="2"/>
      <c r="K200" s="18"/>
      <c r="L200" s="18"/>
      <c r="M200" s="18"/>
      <c r="N200" s="18"/>
      <c r="O200" s="202"/>
      <c r="P200" s="23"/>
      <c r="Q200" s="23"/>
      <c r="R200" s="165"/>
    </row>
    <row r="201" spans="1:18" ht="15" hidden="1">
      <c r="A201" s="3"/>
      <c r="B201" s="127" t="s">
        <v>271</v>
      </c>
      <c r="C201" s="23">
        <v>15008935</v>
      </c>
      <c r="D201" s="23">
        <v>702158</v>
      </c>
      <c r="E201" s="23">
        <v>15711093</v>
      </c>
      <c r="F201" s="214"/>
      <c r="G201" s="18"/>
      <c r="H201" s="18"/>
      <c r="I201" s="18"/>
      <c r="J201" s="2"/>
      <c r="K201" s="18"/>
      <c r="L201" s="18"/>
      <c r="M201" s="18"/>
      <c r="N201" s="18"/>
      <c r="O201" s="202"/>
      <c r="P201" s="23">
        <f>4280901-221330</f>
        <v>4059571</v>
      </c>
      <c r="Q201" s="23">
        <f>571316-12000</f>
        <v>559316</v>
      </c>
      <c r="R201" s="165">
        <v>0</v>
      </c>
    </row>
    <row r="202" spans="1:18" ht="15" hidden="1">
      <c r="A202" s="3"/>
      <c r="B202" s="127" t="s">
        <v>585</v>
      </c>
      <c r="C202" s="23">
        <v>1065685</v>
      </c>
      <c r="D202" s="23">
        <v>45458.22999999998</v>
      </c>
      <c r="E202" s="23">
        <v>1111143.23</v>
      </c>
      <c r="F202" s="214"/>
      <c r="G202" s="18"/>
      <c r="H202" s="18"/>
      <c r="I202" s="18"/>
      <c r="J202" s="2"/>
      <c r="K202" s="18"/>
      <c r="L202" s="18"/>
      <c r="M202" s="18"/>
      <c r="N202" s="18"/>
      <c r="O202" s="202"/>
      <c r="P202" s="23">
        <v>1058830</v>
      </c>
      <c r="Q202" s="23"/>
      <c r="R202" s="165"/>
    </row>
    <row r="203" spans="1:18" ht="15" hidden="1">
      <c r="A203" s="3"/>
      <c r="B203" s="127" t="s">
        <v>272</v>
      </c>
      <c r="C203" s="23">
        <v>2965799</v>
      </c>
      <c r="D203" s="23"/>
      <c r="E203" s="23">
        <v>2965799</v>
      </c>
      <c r="F203" s="214"/>
      <c r="G203" s="18"/>
      <c r="H203" s="18"/>
      <c r="I203" s="18"/>
      <c r="J203" s="2"/>
      <c r="K203" s="18"/>
      <c r="L203" s="18"/>
      <c r="M203" s="18"/>
      <c r="N203" s="18"/>
      <c r="O203" s="202"/>
      <c r="P203" s="23">
        <v>2160349</v>
      </c>
      <c r="Q203" s="23">
        <v>1085684</v>
      </c>
      <c r="R203" s="165">
        <v>909413</v>
      </c>
    </row>
    <row r="204" spans="1:18" ht="15" hidden="1">
      <c r="A204" s="3"/>
      <c r="B204" s="127" t="s">
        <v>586</v>
      </c>
      <c r="C204" s="23">
        <v>0</v>
      </c>
      <c r="D204" s="23"/>
      <c r="E204" s="23">
        <v>0</v>
      </c>
      <c r="F204" s="214"/>
      <c r="G204" s="18"/>
      <c r="H204" s="18"/>
      <c r="I204" s="18"/>
      <c r="J204" s="2"/>
      <c r="K204" s="18"/>
      <c r="L204" s="18"/>
      <c r="M204" s="18"/>
      <c r="N204" s="18"/>
      <c r="O204" s="202"/>
      <c r="P204" s="23"/>
      <c r="Q204" s="23">
        <v>790000</v>
      </c>
      <c r="R204" s="165"/>
    </row>
    <row r="205" spans="1:18" ht="15" hidden="1">
      <c r="A205" s="3"/>
      <c r="B205" s="127" t="s">
        <v>583</v>
      </c>
      <c r="C205" s="23">
        <v>1733000</v>
      </c>
      <c r="D205" s="23"/>
      <c r="E205" s="23">
        <v>1733000</v>
      </c>
      <c r="F205" s="214"/>
      <c r="G205" s="18"/>
      <c r="H205" s="18"/>
      <c r="I205" s="18"/>
      <c r="J205" s="2"/>
      <c r="K205" s="18"/>
      <c r="L205" s="18"/>
      <c r="M205" s="18"/>
      <c r="N205" s="18"/>
      <c r="O205" s="202"/>
      <c r="P205" s="23"/>
      <c r="Q205" s="23"/>
      <c r="R205" s="165">
        <v>1279587</v>
      </c>
    </row>
    <row r="206" spans="1:18" ht="15" hidden="1">
      <c r="A206" s="3"/>
      <c r="B206" s="127" t="s">
        <v>270</v>
      </c>
      <c r="C206" s="53">
        <v>482587</v>
      </c>
      <c r="D206" s="23">
        <v>-26390</v>
      </c>
      <c r="E206" s="23">
        <v>456197</v>
      </c>
      <c r="F206" s="214"/>
      <c r="G206" s="18"/>
      <c r="H206" s="18"/>
      <c r="I206" s="18"/>
      <c r="J206" s="2"/>
      <c r="K206" s="18"/>
      <c r="L206" s="18"/>
      <c r="M206" s="18"/>
      <c r="N206" s="18"/>
      <c r="O206" s="202"/>
      <c r="P206" s="53">
        <v>390000</v>
      </c>
      <c r="Q206" s="53">
        <v>390000</v>
      </c>
      <c r="R206" s="166">
        <v>390000</v>
      </c>
    </row>
    <row r="207" spans="2:18" ht="15" hidden="1">
      <c r="B207" s="127" t="s">
        <v>584</v>
      </c>
      <c r="C207" s="53">
        <v>0</v>
      </c>
      <c r="D207" s="23"/>
      <c r="E207" s="23">
        <v>0</v>
      </c>
      <c r="F207" s="214"/>
      <c r="G207" s="18"/>
      <c r="H207" s="18"/>
      <c r="I207" s="18"/>
      <c r="J207" s="2"/>
      <c r="K207" s="18"/>
      <c r="L207" s="18"/>
      <c r="M207" s="18"/>
      <c r="N207" s="18"/>
      <c r="O207" s="202"/>
      <c r="P207" s="53"/>
      <c r="Q207" s="53"/>
      <c r="R207" s="166">
        <v>150000</v>
      </c>
    </row>
    <row r="208" spans="2:18" ht="15" hidden="1">
      <c r="B208" s="127" t="s">
        <v>588</v>
      </c>
      <c r="C208" s="53">
        <v>100000</v>
      </c>
      <c r="D208" s="23"/>
      <c r="E208" s="22">
        <v>100000</v>
      </c>
      <c r="F208" s="210"/>
      <c r="G208" s="18"/>
      <c r="H208" s="18"/>
      <c r="I208" s="18"/>
      <c r="J208" s="2"/>
      <c r="K208" s="18"/>
      <c r="L208" s="18"/>
      <c r="M208" s="18"/>
      <c r="N208" s="18"/>
      <c r="O208" s="202"/>
      <c r="P208" s="53">
        <v>25000</v>
      </c>
      <c r="Q208" s="53"/>
      <c r="R208" s="166"/>
    </row>
    <row r="209" spans="2:18" ht="15" hidden="1">
      <c r="B209" s="127" t="s">
        <v>664</v>
      </c>
      <c r="C209" s="23">
        <v>2385000</v>
      </c>
      <c r="D209" s="23">
        <v>356578.5</v>
      </c>
      <c r="E209" s="23">
        <v>2741578.5</v>
      </c>
      <c r="F209" s="214"/>
      <c r="G209" s="18"/>
      <c r="H209" s="18"/>
      <c r="I209" s="18"/>
      <c r="J209" s="2"/>
      <c r="K209" s="18"/>
      <c r="L209" s="18"/>
      <c r="M209" s="18"/>
      <c r="N209" s="18"/>
      <c r="O209" s="202"/>
      <c r="P209" s="23">
        <v>2200250</v>
      </c>
      <c r="Q209" s="23">
        <v>1799000</v>
      </c>
      <c r="R209" s="165">
        <v>453000</v>
      </c>
    </row>
    <row r="210" spans="2:18" ht="15" hidden="1">
      <c r="B210" s="127" t="s">
        <v>273</v>
      </c>
      <c r="C210" s="23">
        <v>356000</v>
      </c>
      <c r="D210" s="23"/>
      <c r="E210" s="23">
        <v>356000</v>
      </c>
      <c r="F210" s="214"/>
      <c r="G210" s="18"/>
      <c r="H210" s="18"/>
      <c r="I210" s="18"/>
      <c r="J210" s="2"/>
      <c r="K210" s="18"/>
      <c r="L210" s="18"/>
      <c r="M210" s="18"/>
      <c r="N210" s="18"/>
      <c r="O210" s="202"/>
      <c r="P210" s="23">
        <v>0</v>
      </c>
      <c r="Q210" s="23">
        <v>0</v>
      </c>
      <c r="R210" s="165"/>
    </row>
    <row r="211" spans="2:18" ht="15" hidden="1">
      <c r="B211" s="20"/>
      <c r="C211" s="23"/>
      <c r="D211" s="23"/>
      <c r="E211" s="23"/>
      <c r="F211" s="214"/>
      <c r="G211" s="18"/>
      <c r="H211" s="18"/>
      <c r="I211" s="18"/>
      <c r="J211" s="2"/>
      <c r="K211" s="18"/>
      <c r="L211" s="18"/>
      <c r="M211" s="18"/>
      <c r="N211" s="18"/>
      <c r="O211" s="202"/>
      <c r="P211" s="23"/>
      <c r="Q211" s="23"/>
      <c r="R211" s="165"/>
    </row>
    <row r="212" spans="2:18" ht="15" hidden="1">
      <c r="B212" s="25" t="s">
        <v>276</v>
      </c>
      <c r="C212" s="18">
        <f>SUM(C200:C211)</f>
        <v>24347006</v>
      </c>
      <c r="D212" s="18">
        <v>1077804.73</v>
      </c>
      <c r="E212" s="18">
        <v>25424810.73</v>
      </c>
      <c r="F212" s="211"/>
      <c r="G212" s="18"/>
      <c r="H212" s="18"/>
      <c r="I212" s="18"/>
      <c r="J212" s="2"/>
      <c r="K212" s="18"/>
      <c r="L212" s="18"/>
      <c r="M212" s="18"/>
      <c r="N212" s="18"/>
      <c r="O212" s="198"/>
      <c r="P212" s="18">
        <f>SUM(P200:P211)</f>
        <v>9894000</v>
      </c>
      <c r="Q212" s="18">
        <f>SUM(Q200:Q211)</f>
        <v>4624000</v>
      </c>
      <c r="R212" s="21">
        <f>SUM(R200:R211)</f>
        <v>3182000</v>
      </c>
    </row>
    <row r="213" spans="2:18" ht="15" hidden="1">
      <c r="B213" s="20"/>
      <c r="C213" s="23"/>
      <c r="D213" s="23"/>
      <c r="E213" s="23"/>
      <c r="F213" s="214"/>
      <c r="G213" s="18"/>
      <c r="H213" s="18"/>
      <c r="I213" s="18"/>
      <c r="J213" s="2"/>
      <c r="K213" s="18"/>
      <c r="L213" s="18"/>
      <c r="M213" s="18"/>
      <c r="N213" s="18"/>
      <c r="O213" s="201"/>
      <c r="P213" s="23"/>
      <c r="Q213" s="23"/>
      <c r="R213" s="165"/>
    </row>
    <row r="214" spans="2:18" ht="15" hidden="1">
      <c r="B214" s="26" t="s">
        <v>277</v>
      </c>
      <c r="C214" s="23"/>
      <c r="D214" s="23"/>
      <c r="E214" s="23"/>
      <c r="F214" s="214"/>
      <c r="G214" s="18"/>
      <c r="H214" s="18"/>
      <c r="I214" s="18"/>
      <c r="J214" s="2"/>
      <c r="K214" s="18"/>
      <c r="L214" s="18"/>
      <c r="M214" s="18"/>
      <c r="N214" s="18"/>
      <c r="O214" s="201"/>
      <c r="P214" s="23"/>
      <c r="Q214" s="23"/>
      <c r="R214" s="165"/>
    </row>
    <row r="215" spans="2:18" ht="15" hidden="1">
      <c r="B215" s="20" t="s">
        <v>278</v>
      </c>
      <c r="C215" s="23">
        <v>19054000</v>
      </c>
      <c r="D215" s="23"/>
      <c r="E215" s="23">
        <v>19054000</v>
      </c>
      <c r="F215" s="214"/>
      <c r="G215" s="18"/>
      <c r="H215" s="18"/>
      <c r="I215" s="18"/>
      <c r="J215" s="2"/>
      <c r="K215" s="18"/>
      <c r="L215" s="18"/>
      <c r="M215" s="18"/>
      <c r="N215" s="18"/>
      <c r="O215" s="201"/>
      <c r="P215" s="23">
        <v>19247000</v>
      </c>
      <c r="Q215" s="23">
        <v>14310000</v>
      </c>
      <c r="R215" s="165">
        <v>22360000</v>
      </c>
    </row>
    <row r="216" spans="2:18" ht="15" hidden="1">
      <c r="B216" s="20" t="s">
        <v>281</v>
      </c>
      <c r="C216" s="23"/>
      <c r="D216" s="23"/>
      <c r="E216" s="23"/>
      <c r="F216" s="214"/>
      <c r="G216" s="18"/>
      <c r="H216" s="18"/>
      <c r="I216" s="18"/>
      <c r="J216" s="2"/>
      <c r="K216" s="18"/>
      <c r="L216" s="18"/>
      <c r="M216" s="18"/>
      <c r="N216" s="18"/>
      <c r="O216" s="201"/>
      <c r="P216" s="23">
        <v>2000000</v>
      </c>
      <c r="Q216" s="23"/>
      <c r="R216" s="165"/>
    </row>
    <row r="217" spans="2:18" ht="15" hidden="1">
      <c r="B217" s="20"/>
      <c r="C217" s="23"/>
      <c r="D217" s="23"/>
      <c r="E217" s="23"/>
      <c r="F217" s="214"/>
      <c r="G217" s="18"/>
      <c r="H217" s="18"/>
      <c r="I217" s="18"/>
      <c r="J217" s="2"/>
      <c r="K217" s="18"/>
      <c r="L217" s="18"/>
      <c r="M217" s="18"/>
      <c r="N217" s="18"/>
      <c r="O217" s="201"/>
      <c r="P217" s="23"/>
      <c r="Q217" s="23"/>
      <c r="R217" s="165"/>
    </row>
    <row r="218" spans="2:24" ht="15" hidden="1">
      <c r="B218" s="25" t="s">
        <v>282</v>
      </c>
      <c r="C218" s="18">
        <f>SUM(C215:C217)</f>
        <v>19054000</v>
      </c>
      <c r="D218" s="18">
        <v>0</v>
      </c>
      <c r="E218" s="18">
        <v>19054000</v>
      </c>
      <c r="F218" s="211"/>
      <c r="G218" s="18"/>
      <c r="H218" s="18"/>
      <c r="I218" s="18"/>
      <c r="J218" s="2"/>
      <c r="K218" s="18"/>
      <c r="L218" s="18"/>
      <c r="M218" s="18"/>
      <c r="N218" s="18"/>
      <c r="O218" s="198"/>
      <c r="P218" s="18">
        <f>SUM(P215:P217)</f>
        <v>21247000</v>
      </c>
      <c r="Q218" s="18">
        <f>SUM(Q215:Q217)</f>
        <v>14310000</v>
      </c>
      <c r="R218" s="21">
        <f>SUM(R215:R217)</f>
        <v>22360000</v>
      </c>
      <c r="S218" s="13"/>
      <c r="T218" s="13"/>
      <c r="U218" s="13"/>
      <c r="V218" s="13"/>
      <c r="W218" s="13"/>
      <c r="X218" s="13"/>
    </row>
    <row r="219" spans="2:24" ht="15" hidden="1">
      <c r="B219" s="20"/>
      <c r="C219" s="22"/>
      <c r="D219" s="22"/>
      <c r="E219" s="22"/>
      <c r="F219" s="210"/>
      <c r="G219" s="22"/>
      <c r="H219" s="22"/>
      <c r="I219" s="22"/>
      <c r="J219" s="180"/>
      <c r="K219" s="22"/>
      <c r="L219" s="22"/>
      <c r="M219" s="22"/>
      <c r="N219" s="22"/>
      <c r="O219" s="197"/>
      <c r="P219" s="22"/>
      <c r="Q219" s="22"/>
      <c r="R219" s="161"/>
      <c r="S219" s="3"/>
      <c r="T219" s="3"/>
      <c r="U219" s="3"/>
      <c r="V219" s="3"/>
      <c r="W219" s="3"/>
      <c r="X219" s="3"/>
    </row>
    <row r="220" spans="2:24" ht="15" hidden="1">
      <c r="B220" s="25" t="s">
        <v>283</v>
      </c>
      <c r="C220" s="18">
        <f>C218+C212</f>
        <v>43401006</v>
      </c>
      <c r="D220" s="18">
        <v>1077804.73</v>
      </c>
      <c r="E220" s="18">
        <v>44478810.730000004</v>
      </c>
      <c r="F220" s="211"/>
      <c r="G220" s="18"/>
      <c r="H220" s="18"/>
      <c r="I220" s="18"/>
      <c r="J220" s="2"/>
      <c r="K220" s="18"/>
      <c r="L220" s="18"/>
      <c r="M220" s="18"/>
      <c r="N220" s="18"/>
      <c r="O220" s="198"/>
      <c r="P220" s="18">
        <f>P218+P212</f>
        <v>31141000</v>
      </c>
      <c r="Q220" s="18">
        <f>Q218+Q212</f>
        <v>18934000</v>
      </c>
      <c r="R220" s="21">
        <f>R218+R212</f>
        <v>25542000</v>
      </c>
      <c r="S220" s="13"/>
      <c r="T220" s="14"/>
      <c r="U220" s="14"/>
      <c r="V220" s="15"/>
      <c r="W220" s="15"/>
      <c r="X220" s="14"/>
    </row>
    <row r="221" spans="2:24" ht="15" hidden="1">
      <c r="B221" s="31"/>
      <c r="C221" s="32"/>
      <c r="D221" s="32"/>
      <c r="E221" s="32"/>
      <c r="F221" s="32"/>
      <c r="G221" s="32"/>
      <c r="H221" s="32"/>
      <c r="I221" s="32"/>
      <c r="J221" s="184"/>
      <c r="K221" s="32"/>
      <c r="L221" s="32"/>
      <c r="M221" s="32"/>
      <c r="N221" s="32"/>
      <c r="O221" s="203"/>
      <c r="P221" s="32"/>
      <c r="Q221" s="32"/>
      <c r="R221" s="167"/>
      <c r="S221" s="27"/>
      <c r="T221" s="27"/>
      <c r="U221" s="27"/>
      <c r="V221" s="27"/>
      <c r="W221" s="27"/>
      <c r="X221" s="27"/>
    </row>
    <row r="222" spans="2:24" s="168" customFormat="1" ht="15.75" hidden="1">
      <c r="B222" s="28"/>
      <c r="C222" s="29">
        <f>C196-C220</f>
        <v>-13000</v>
      </c>
      <c r="D222" s="29"/>
      <c r="E222" s="29">
        <v>-0.09000000357627869</v>
      </c>
      <c r="F222" s="29"/>
      <c r="G222" s="29"/>
      <c r="H222" s="29"/>
      <c r="I222" s="29"/>
      <c r="J222" s="185"/>
      <c r="K222" s="29"/>
      <c r="L222" s="29"/>
      <c r="M222" s="29"/>
      <c r="N222" s="29"/>
      <c r="O222" s="29"/>
      <c r="P222" s="29">
        <f>P196-P220</f>
        <v>-400000</v>
      </c>
      <c r="Q222" s="29">
        <f>Q196-Q220</f>
        <v>0</v>
      </c>
      <c r="R222" s="29">
        <f>R196-R220</f>
        <v>0</v>
      </c>
      <c r="S222" s="28"/>
      <c r="T222" s="28"/>
      <c r="U222" s="28"/>
      <c r="V222" s="28"/>
      <c r="W222" s="28"/>
      <c r="X222" s="28"/>
    </row>
    <row r="223" spans="2:24" s="154" customFormat="1" ht="15" hidden="1">
      <c r="B223" s="155"/>
      <c r="C223" s="155"/>
      <c r="D223" s="155"/>
      <c r="E223" s="155"/>
      <c r="F223" s="215"/>
      <c r="G223" s="155"/>
      <c r="H223" s="155"/>
      <c r="I223" s="155"/>
      <c r="J223" s="186"/>
      <c r="K223" s="155"/>
      <c r="L223" s="155"/>
      <c r="M223" s="155"/>
      <c r="N223" s="155"/>
      <c r="O223" s="155"/>
      <c r="P223" s="155"/>
      <c r="Q223" s="155"/>
      <c r="R223" s="155"/>
      <c r="S223" s="155"/>
      <c r="T223" s="155"/>
      <c r="U223" s="155"/>
      <c r="V223" s="155"/>
      <c r="W223" s="155"/>
      <c r="X223" s="155"/>
    </row>
    <row r="224" ht="15" hidden="1"/>
    <row r="225" ht="15" hidden="1"/>
    <row r="226" ht="15" hidden="1"/>
    <row r="227" ht="15" hidden="1"/>
    <row r="228" ht="51" hidden="1">
      <c r="K228" s="16" t="s">
        <v>4</v>
      </c>
    </row>
    <row r="229" ht="15" hidden="1"/>
  </sheetData>
  <sheetProtection/>
  <printOptions/>
  <pageMargins left="0.2362204724409449" right="0.2362204724409449" top="0.7480314960629921" bottom="0.7480314960629921" header="0.31496062992125984" footer="0.31496062992125984"/>
  <pageSetup fitToHeight="3" fitToWidth="1" horizontalDpi="600" verticalDpi="600" orientation="portrait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5"/>
  <sheetViews>
    <sheetView zoomScale="85" zoomScaleNormal="85" zoomScalePageLayoutView="0" workbookViewId="0" topLeftCell="A1">
      <selection activeCell="D30" sqref="D30"/>
    </sheetView>
  </sheetViews>
  <sheetFormatPr defaultColWidth="9.140625" defaultRowHeight="15"/>
  <cols>
    <col min="1" max="1" width="2.7109375" style="0" customWidth="1"/>
    <col min="2" max="2" width="45.28125" style="0" bestFit="1" customWidth="1"/>
    <col min="3" max="3" width="13.421875" style="0" bestFit="1" customWidth="1"/>
    <col min="4" max="6" width="12.421875" style="0" bestFit="1" customWidth="1"/>
  </cols>
  <sheetData>
    <row r="1" spans="2:6" ht="20.25">
      <c r="B1" s="256" t="s">
        <v>672</v>
      </c>
      <c r="C1" s="257"/>
      <c r="D1" s="257"/>
      <c r="E1" s="257"/>
      <c r="F1" s="258"/>
    </row>
    <row r="2" spans="2:6" ht="21" thickBot="1">
      <c r="B2" s="142"/>
      <c r="C2" s="128"/>
      <c r="D2" s="128"/>
      <c r="E2" s="128"/>
      <c r="F2" s="143"/>
    </row>
    <row r="3" spans="2:6" ht="30">
      <c r="B3" s="129" t="s">
        <v>673</v>
      </c>
      <c r="C3" s="130" t="s">
        <v>674</v>
      </c>
      <c r="D3" s="131" t="s">
        <v>675</v>
      </c>
      <c r="E3" s="130" t="s">
        <v>676</v>
      </c>
      <c r="F3" s="131" t="s">
        <v>677</v>
      </c>
    </row>
    <row r="4" spans="2:6" ht="15.75" thickBot="1">
      <c r="B4" s="132"/>
      <c r="C4" s="134" t="s">
        <v>678</v>
      </c>
      <c r="D4" s="133" t="s">
        <v>678</v>
      </c>
      <c r="E4" s="134" t="s">
        <v>678</v>
      </c>
      <c r="F4" s="133" t="s">
        <v>678</v>
      </c>
    </row>
    <row r="5" spans="2:6" ht="15">
      <c r="B5" s="135"/>
      <c r="C5" s="136"/>
      <c r="D5" s="136"/>
      <c r="E5" s="136"/>
      <c r="F5" s="137"/>
    </row>
    <row r="6" spans="2:6" s="1" customFormat="1" ht="15">
      <c r="B6" s="150" t="s">
        <v>679</v>
      </c>
      <c r="C6" s="169">
        <v>17431551</v>
      </c>
      <c r="D6" s="148">
        <v>3157352.5</v>
      </c>
      <c r="E6" s="148">
        <v>376451.5</v>
      </c>
      <c r="F6" s="149">
        <v>595135.5</v>
      </c>
    </row>
    <row r="7" spans="2:6" s="1" customFormat="1" ht="15">
      <c r="B7" s="150" t="s">
        <v>680</v>
      </c>
      <c r="C7" s="152">
        <f>-'Appendix B'!E201</f>
        <v>-15711093</v>
      </c>
      <c r="D7" s="152">
        <f>-'Appendix B'!P201</f>
        <v>-4059571</v>
      </c>
      <c r="E7" s="152">
        <f>-'Appendix B'!Q201</f>
        <v>-559316</v>
      </c>
      <c r="F7" s="153">
        <v>0</v>
      </c>
    </row>
    <row r="8" spans="2:6" s="1" customFormat="1" ht="15">
      <c r="B8" s="150"/>
      <c r="C8" s="152"/>
      <c r="D8" s="152"/>
      <c r="E8" s="152"/>
      <c r="F8" s="153"/>
    </row>
    <row r="9" spans="2:6" ht="15">
      <c r="B9" s="138" t="s">
        <v>681</v>
      </c>
      <c r="C9" s="189">
        <v>3634300</v>
      </c>
      <c r="D9" s="144"/>
      <c r="E9" s="144"/>
      <c r="F9" s="145"/>
    </row>
    <row r="10" spans="2:6" ht="15">
      <c r="B10" s="138" t="s">
        <v>682</v>
      </c>
      <c r="C10" s="144">
        <v>100000</v>
      </c>
      <c r="D10" s="144"/>
      <c r="E10" s="144"/>
      <c r="F10" s="145"/>
    </row>
    <row r="11" spans="2:6" ht="15">
      <c r="B11" s="138" t="s">
        <v>334</v>
      </c>
      <c r="C11" s="144"/>
      <c r="D11" s="144">
        <v>0</v>
      </c>
      <c r="E11" s="144"/>
      <c r="F11" s="145"/>
    </row>
    <row r="12" spans="2:6" ht="15">
      <c r="B12" s="138" t="s">
        <v>683</v>
      </c>
      <c r="C12" s="144">
        <v>0</v>
      </c>
      <c r="D12" s="144"/>
      <c r="E12" s="144"/>
      <c r="F12" s="145"/>
    </row>
    <row r="13" spans="2:6" ht="15">
      <c r="B13" s="138" t="s">
        <v>684</v>
      </c>
      <c r="C13" s="144">
        <v>0</v>
      </c>
      <c r="D13" s="144"/>
      <c r="E13" s="144"/>
      <c r="F13" s="145"/>
    </row>
    <row r="14" spans="2:6" ht="15">
      <c r="B14" s="138" t="s">
        <v>685</v>
      </c>
      <c r="C14" s="144"/>
      <c r="D14" s="144">
        <v>1500000</v>
      </c>
      <c r="E14" s="144"/>
      <c r="F14" s="145"/>
    </row>
    <row r="15" spans="2:6" ht="15">
      <c r="B15" s="138" t="s">
        <v>686</v>
      </c>
      <c r="C15" s="144">
        <v>50000</v>
      </c>
      <c r="D15" s="144"/>
      <c r="E15" s="144"/>
      <c r="F15" s="145"/>
    </row>
    <row r="16" spans="2:6" ht="15">
      <c r="B16" s="138" t="s">
        <v>687</v>
      </c>
      <c r="C16" s="144"/>
      <c r="D16" s="144">
        <v>0</v>
      </c>
      <c r="E16" s="144"/>
      <c r="F16" s="145"/>
    </row>
    <row r="17" spans="2:6" ht="15">
      <c r="B17" s="138" t="s">
        <v>688</v>
      </c>
      <c r="C17" s="144"/>
      <c r="D17" s="144">
        <v>0</v>
      </c>
      <c r="E17" s="144"/>
      <c r="F17" s="145"/>
    </row>
    <row r="18" spans="2:6" ht="15">
      <c r="B18" s="138" t="s">
        <v>313</v>
      </c>
      <c r="C18" s="146"/>
      <c r="D18" s="146"/>
      <c r="E18" s="146">
        <v>790000</v>
      </c>
      <c r="F18" s="147"/>
    </row>
    <row r="19" spans="2:6" ht="15">
      <c r="B19" s="138"/>
      <c r="C19" s="146"/>
      <c r="D19" s="146"/>
      <c r="E19" s="146"/>
      <c r="F19" s="147"/>
    </row>
    <row r="20" spans="2:6" ht="15">
      <c r="B20" s="150" t="s">
        <v>689</v>
      </c>
      <c r="C20" s="148">
        <f>SUM(C9:C18)</f>
        <v>3784300</v>
      </c>
      <c r="D20" s="148">
        <f>SUM(D9:D18)</f>
        <v>1500000</v>
      </c>
      <c r="E20" s="148">
        <f>SUM(E9:E18)</f>
        <v>790000</v>
      </c>
      <c r="F20" s="149">
        <f>SUM(F9:F18)</f>
        <v>0</v>
      </c>
    </row>
    <row r="21" spans="2:6" ht="15">
      <c r="B21" s="151"/>
      <c r="C21" s="144"/>
      <c r="D21" s="144"/>
      <c r="E21" s="144"/>
      <c r="F21" s="145"/>
    </row>
    <row r="22" spans="2:6" ht="15.75" thickBot="1">
      <c r="B22" s="139" t="s">
        <v>690</v>
      </c>
      <c r="C22" s="140">
        <f>C6+C7+C20</f>
        <v>5504758</v>
      </c>
      <c r="D22" s="140">
        <v>376451.5</v>
      </c>
      <c r="E22" s="140">
        <v>595135.5</v>
      </c>
      <c r="F22" s="141">
        <v>595135.5</v>
      </c>
    </row>
    <row r="25" ht="15">
      <c r="B25" s="173" t="s">
        <v>708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39"/>
  <sheetViews>
    <sheetView zoomScalePageLayoutView="0" workbookViewId="0" topLeftCell="A1">
      <pane ySplit="1" topLeftCell="A82" activePane="bottomLeft" state="frozen"/>
      <selection pane="topLeft" activeCell="A1" sqref="A1"/>
      <selection pane="bottomLeft" activeCell="E92" sqref="E92"/>
    </sheetView>
  </sheetViews>
  <sheetFormatPr defaultColWidth="8.8515625" defaultRowHeight="15" outlineLevelRow="1"/>
  <cols>
    <col min="1" max="1" width="6.7109375" style="170" bestFit="1" customWidth="1"/>
    <col min="2" max="2" width="48.421875" style="170" bestFit="1" customWidth="1"/>
    <col min="3" max="3" width="16.28125" style="209" bestFit="1" customWidth="1"/>
    <col min="4" max="4" width="15.00390625" style="209" bestFit="1" customWidth="1"/>
    <col min="5" max="6" width="14.8515625" style="209" bestFit="1" customWidth="1"/>
    <col min="7" max="7" width="13.8515625" style="170" bestFit="1" customWidth="1"/>
    <col min="8" max="8" width="8.8515625" style="170" customWidth="1"/>
    <col min="9" max="10" width="13.57421875" style="209" bestFit="1" customWidth="1"/>
    <col min="11" max="16384" width="8.8515625" style="170" customWidth="1"/>
  </cols>
  <sheetData>
    <row r="1" spans="1:10" s="204" customFormat="1" ht="15">
      <c r="A1" s="205" t="s">
        <v>286</v>
      </c>
      <c r="B1" s="205" t="s">
        <v>287</v>
      </c>
      <c r="C1" s="217" t="s">
        <v>699</v>
      </c>
      <c r="D1" s="217" t="s">
        <v>700</v>
      </c>
      <c r="E1" s="217" t="s">
        <v>735</v>
      </c>
      <c r="F1" s="217" t="s">
        <v>701</v>
      </c>
      <c r="G1" s="205" t="s">
        <v>702</v>
      </c>
      <c r="H1" s="205"/>
      <c r="I1" s="216" t="s">
        <v>743</v>
      </c>
      <c r="J1" s="216" t="s">
        <v>744</v>
      </c>
    </row>
    <row r="2" spans="1:9" ht="15">
      <c r="A2" s="170" t="s">
        <v>151</v>
      </c>
      <c r="B2" s="170" t="s">
        <v>290</v>
      </c>
      <c r="C2" s="209">
        <v>18146</v>
      </c>
      <c r="D2" s="209">
        <v>0</v>
      </c>
      <c r="E2" s="209">
        <f>VLOOKUP(A2,'Appendix B'!A:F,6,FALSE)</f>
        <v>18146</v>
      </c>
      <c r="F2" s="209">
        <f>IF(ISNA(VLOOKUP(A2,Profiles!$A$2:$F$113,6,FALSE)),0,(VLOOKUP(A2,Profiles!$A$2:$F$113,6,FALSE)))</f>
        <v>4536.5</v>
      </c>
      <c r="G2" s="171">
        <f aca="true" t="shared" si="0" ref="G2:G31">IF(ISNA(VLOOKUP($A2,$A$125:$D$237,4,FALSE)),0,(VLOOKUP($A2,$A$125:$D$237,4,FALSE)))</f>
        <v>2291.24</v>
      </c>
      <c r="H2" s="170" t="str">
        <f>VLOOKUP(A2,'Appendix B'!A:A,1,FALSE)</f>
        <v>A1300</v>
      </c>
      <c r="I2" s="209">
        <f>E2-C2</f>
        <v>0</v>
      </c>
    </row>
    <row r="3" spans="1:9" ht="15">
      <c r="A3" s="170" t="s">
        <v>153</v>
      </c>
      <c r="B3" s="170" t="s">
        <v>291</v>
      </c>
      <c r="C3" s="209">
        <v>74441</v>
      </c>
      <c r="D3" s="209">
        <v>92587</v>
      </c>
      <c r="E3" s="209">
        <f>VLOOKUP(A3,'Appendix B'!A:F,6,FALSE)</f>
        <v>74441</v>
      </c>
      <c r="F3" s="209">
        <f>IF(ISNA(VLOOKUP(A3,Profiles!$A$2:$F$113,6,FALSE)),0,(VLOOKUP(A3,Profiles!$A$2:$F$113,6,FALSE)))</f>
        <v>0</v>
      </c>
      <c r="G3" s="171">
        <f t="shared" si="0"/>
        <v>0</v>
      </c>
      <c r="H3" s="170" t="str">
        <f>VLOOKUP(A3,'Appendix B'!A:A,1,FALSE)</f>
        <v>A1301</v>
      </c>
      <c r="I3" s="209">
        <f aca="true" t="shared" si="1" ref="I3:I66">E3-C3</f>
        <v>0</v>
      </c>
    </row>
    <row r="4" spans="1:9" ht="15">
      <c r="A4" s="170" t="s">
        <v>292</v>
      </c>
      <c r="B4" s="170" t="s">
        <v>293</v>
      </c>
      <c r="C4" s="209">
        <v>44375</v>
      </c>
      <c r="D4" s="209">
        <v>44375</v>
      </c>
      <c r="E4" s="209">
        <f>VLOOKUP(A4,'Appendix B'!A:F,6,FALSE)</f>
        <v>44375</v>
      </c>
      <c r="F4" s="209">
        <f>IF(ISNA(VLOOKUP(A4,Profiles!$A$2:$F$113,6,FALSE)),0,(VLOOKUP(A4,Profiles!$A$2:$F$113,6,FALSE)))</f>
        <v>0</v>
      </c>
      <c r="G4" s="171">
        <f t="shared" si="0"/>
        <v>0</v>
      </c>
      <c r="H4" s="170" t="str">
        <f>VLOOKUP(A4,'Appendix B'!A:A,1,FALSE)</f>
        <v>A3129</v>
      </c>
      <c r="I4" s="209">
        <f t="shared" si="1"/>
        <v>0</v>
      </c>
    </row>
    <row r="5" spans="1:9" ht="15">
      <c r="A5" s="170" t="s">
        <v>52</v>
      </c>
      <c r="B5" s="170" t="s">
        <v>294</v>
      </c>
      <c r="C5" s="209">
        <v>128278</v>
      </c>
      <c r="D5" s="209">
        <v>128278</v>
      </c>
      <c r="E5" s="209">
        <f>VLOOKUP(A5,'Appendix B'!A:F,6,FALSE)</f>
        <v>128278</v>
      </c>
      <c r="F5" s="209">
        <f>IF(ISNA(VLOOKUP(A5,Profiles!$A$2:$F$113,6,FALSE)),0,(VLOOKUP(A5,Profiles!$A$2:$F$113,6,FALSE)))</f>
        <v>0</v>
      </c>
      <c r="G5" s="171">
        <f t="shared" si="0"/>
        <v>0</v>
      </c>
      <c r="H5" s="170" t="str">
        <f>VLOOKUP(A5,'Appendix B'!A:A,1,FALSE)</f>
        <v>A4808</v>
      </c>
      <c r="I5" s="209">
        <f t="shared" si="1"/>
        <v>0</v>
      </c>
    </row>
    <row r="6" spans="1:10" ht="15">
      <c r="A6" s="170" t="s">
        <v>155</v>
      </c>
      <c r="B6" s="170" t="s">
        <v>295</v>
      </c>
      <c r="C6" s="209">
        <v>7560900</v>
      </c>
      <c r="D6" s="209">
        <v>7560900</v>
      </c>
      <c r="E6" s="209">
        <f>VLOOKUP(A6,'Appendix B'!A:F,6,FALSE)</f>
        <v>4060900</v>
      </c>
      <c r="F6" s="209">
        <f>IF(ISNA(VLOOKUP(A6,Profiles!$A$2:$F$113,6,FALSE)),0,(VLOOKUP(A6,Profiles!$A$2:$F$113,6,FALSE)))</f>
        <v>2090</v>
      </c>
      <c r="G6" s="171">
        <f t="shared" si="0"/>
        <v>2085</v>
      </c>
      <c r="H6" s="170" t="str">
        <f>VLOOKUP(A6,'Appendix B'!A:A,1,FALSE)</f>
        <v>A4810</v>
      </c>
      <c r="I6" s="209">
        <f t="shared" si="1"/>
        <v>-3500000</v>
      </c>
      <c r="J6" s="209">
        <v>3750000</v>
      </c>
    </row>
    <row r="7" spans="1:9" ht="15">
      <c r="A7" s="170" t="s">
        <v>58</v>
      </c>
      <c r="B7" s="170" t="s">
        <v>296</v>
      </c>
      <c r="C7" s="209">
        <v>370900</v>
      </c>
      <c r="D7" s="209">
        <v>370900</v>
      </c>
      <c r="E7" s="209">
        <f>VLOOKUP(A7,'Appendix B'!A:F,6,FALSE)</f>
        <v>370900</v>
      </c>
      <c r="F7" s="209">
        <f>IF(ISNA(VLOOKUP(A7,Profiles!$A$2:$F$113,6,FALSE)),0,(VLOOKUP(A7,Profiles!$A$2:$F$113,6,FALSE)))</f>
        <v>0</v>
      </c>
      <c r="G7" s="171">
        <f t="shared" si="0"/>
        <v>0</v>
      </c>
      <c r="H7" s="170" t="str">
        <f>VLOOKUP(A7,'Appendix B'!A:A,1,FALSE)</f>
        <v>A4814</v>
      </c>
      <c r="I7" s="209">
        <f t="shared" si="1"/>
        <v>0</v>
      </c>
    </row>
    <row r="8" spans="1:9" ht="15">
      <c r="A8" s="170" t="s">
        <v>160</v>
      </c>
      <c r="B8" s="170" t="s">
        <v>297</v>
      </c>
      <c r="C8" s="209">
        <v>447250</v>
      </c>
      <c r="D8" s="209">
        <v>447250</v>
      </c>
      <c r="E8" s="209">
        <f>VLOOKUP(A8,'Appendix B'!A:F,6,FALSE)</f>
        <v>447250</v>
      </c>
      <c r="F8" s="209">
        <f>IF(ISNA(VLOOKUP(A8,Profiles!$A$2:$F$113,6,FALSE)),0,(VLOOKUP(A8,Profiles!$A$2:$F$113,6,FALSE)))</f>
        <v>0</v>
      </c>
      <c r="G8" s="171">
        <f t="shared" si="0"/>
        <v>0</v>
      </c>
      <c r="H8" s="170" t="str">
        <f>VLOOKUP(A8,'Appendix B'!A:A,1,FALSE)</f>
        <v>A4815</v>
      </c>
      <c r="I8" s="209">
        <f t="shared" si="1"/>
        <v>0</v>
      </c>
    </row>
    <row r="9" spans="1:9" ht="15">
      <c r="A9" s="170" t="s">
        <v>166</v>
      </c>
      <c r="B9" s="170" t="s">
        <v>298</v>
      </c>
      <c r="C9" s="209">
        <v>885800</v>
      </c>
      <c r="D9" s="209">
        <v>885800</v>
      </c>
      <c r="E9" s="209">
        <f>VLOOKUP(A9,'Appendix B'!A:F,6,FALSE)</f>
        <v>885800</v>
      </c>
      <c r="F9" s="209">
        <f>IF(ISNA(VLOOKUP(A9,Profiles!$A$2:$F$113,6,FALSE)),0,(VLOOKUP(A9,Profiles!$A$2:$F$113,6,FALSE)))</f>
        <v>60000</v>
      </c>
      <c r="G9" s="171">
        <f t="shared" si="0"/>
        <v>59003.13</v>
      </c>
      <c r="H9" s="170" t="str">
        <f>VLOOKUP(A9,'Appendix B'!A:A,1,FALSE)</f>
        <v>A4816</v>
      </c>
      <c r="I9" s="209">
        <f t="shared" si="1"/>
        <v>0</v>
      </c>
    </row>
    <row r="10" spans="1:9" ht="15">
      <c r="A10" s="170" t="s">
        <v>164</v>
      </c>
      <c r="B10" s="170" t="s">
        <v>299</v>
      </c>
      <c r="C10" s="209">
        <v>124000</v>
      </c>
      <c r="D10" s="209">
        <v>124000</v>
      </c>
      <c r="E10" s="209">
        <f>VLOOKUP(A10,'Appendix B'!A:F,6,FALSE)</f>
        <v>124000</v>
      </c>
      <c r="F10" s="209">
        <f>IF(ISNA(VLOOKUP(A10,Profiles!$A$2:$F$113,6,FALSE)),0,(VLOOKUP(A10,Profiles!$A$2:$F$113,6,FALSE)))</f>
        <v>0</v>
      </c>
      <c r="G10" s="171">
        <f t="shared" si="0"/>
        <v>0</v>
      </c>
      <c r="H10" s="170" t="str">
        <f>VLOOKUP(A10,'Appendix B'!A:A,1,FALSE)</f>
        <v>A4818</v>
      </c>
      <c r="I10" s="209">
        <f t="shared" si="1"/>
        <v>0</v>
      </c>
    </row>
    <row r="11" spans="1:9" ht="15">
      <c r="A11" s="170" t="s">
        <v>170</v>
      </c>
      <c r="B11" s="170" t="s">
        <v>300</v>
      </c>
      <c r="C11" s="209">
        <v>69180</v>
      </c>
      <c r="D11" s="209">
        <v>69180</v>
      </c>
      <c r="E11" s="209">
        <f>VLOOKUP(A11,'Appendix B'!A:F,6,FALSE)</f>
        <v>69180</v>
      </c>
      <c r="F11" s="209">
        <f>IF(ISNA(VLOOKUP(A11,Profiles!$A$2:$F$113,6,FALSE)),0,(VLOOKUP(A11,Profiles!$A$2:$F$113,6,FALSE)))</f>
        <v>0</v>
      </c>
      <c r="G11" s="171">
        <f t="shared" si="0"/>
        <v>0</v>
      </c>
      <c r="H11" s="170" t="str">
        <f>VLOOKUP(A11,'Appendix B'!A:A,1,FALSE)</f>
        <v>A4820</v>
      </c>
      <c r="I11" s="209">
        <f t="shared" si="1"/>
        <v>0</v>
      </c>
    </row>
    <row r="12" spans="1:9" ht="15">
      <c r="A12" s="170" t="s">
        <v>172</v>
      </c>
      <c r="B12" s="170" t="s">
        <v>301</v>
      </c>
      <c r="C12" s="209">
        <v>63170</v>
      </c>
      <c r="D12" s="209">
        <v>63170</v>
      </c>
      <c r="E12" s="209">
        <f>VLOOKUP(A12,'Appendix B'!A:F,6,FALSE)</f>
        <v>63170</v>
      </c>
      <c r="F12" s="209">
        <f>IF(ISNA(VLOOKUP(A12,Profiles!$A$2:$F$113,6,FALSE)),0,(VLOOKUP(A12,Profiles!$A$2:$F$113,6,FALSE)))</f>
        <v>0</v>
      </c>
      <c r="G12" s="171">
        <f t="shared" si="0"/>
        <v>-0.2</v>
      </c>
      <c r="H12" s="170" t="str">
        <f>VLOOKUP(A12,'Appendix B'!A:A,1,FALSE)</f>
        <v>A4821</v>
      </c>
      <c r="I12" s="209">
        <f t="shared" si="1"/>
        <v>0</v>
      </c>
    </row>
    <row r="13" spans="1:9" ht="15">
      <c r="A13" s="170" t="s">
        <v>302</v>
      </c>
      <c r="B13" s="170" t="s">
        <v>303</v>
      </c>
      <c r="C13" s="209">
        <v>100000</v>
      </c>
      <c r="D13" s="209">
        <v>100000</v>
      </c>
      <c r="E13" s="209">
        <f>VLOOKUP(A13,'Appendix B'!A:F,6,FALSE)</f>
        <v>100000</v>
      </c>
      <c r="F13" s="209">
        <f>IF(ISNA(VLOOKUP(A13,Profiles!$A$2:$F$113,6,FALSE)),0,(VLOOKUP(A13,Profiles!$A$2:$F$113,6,FALSE)))</f>
        <v>0</v>
      </c>
      <c r="G13" s="171">
        <f t="shared" si="0"/>
        <v>0</v>
      </c>
      <c r="H13" s="170" t="str">
        <f>VLOOKUP(A13,'Appendix B'!A:A,1,FALSE)</f>
        <v>A4826</v>
      </c>
      <c r="I13" s="209">
        <f t="shared" si="1"/>
        <v>0</v>
      </c>
    </row>
    <row r="14" spans="1:9" ht="15">
      <c r="A14" s="170" t="s">
        <v>304</v>
      </c>
      <c r="B14" s="170" t="s">
        <v>305</v>
      </c>
      <c r="C14" s="209">
        <v>70000</v>
      </c>
      <c r="D14" s="209">
        <v>70000</v>
      </c>
      <c r="E14" s="209">
        <f>VLOOKUP(A14,'Appendix B'!A:F,6,FALSE)</f>
        <v>70000</v>
      </c>
      <c r="F14" s="209">
        <f>IF(ISNA(VLOOKUP(A14,Profiles!$A$2:$F$113,6,FALSE)),0,(VLOOKUP(A14,Profiles!$A$2:$F$113,6,FALSE)))</f>
        <v>0</v>
      </c>
      <c r="G14" s="171">
        <f t="shared" si="0"/>
        <v>0</v>
      </c>
      <c r="H14" s="170" t="str">
        <f>VLOOKUP(A14,'Appendix B'!A:A,1,FALSE)</f>
        <v>A4827</v>
      </c>
      <c r="I14" s="209">
        <f t="shared" si="1"/>
        <v>0</v>
      </c>
    </row>
    <row r="15" spans="1:9" ht="15">
      <c r="A15" s="170" t="s">
        <v>306</v>
      </c>
      <c r="B15" s="170" t="s">
        <v>307</v>
      </c>
      <c r="C15" s="209">
        <v>10000</v>
      </c>
      <c r="D15" s="209">
        <v>10000</v>
      </c>
      <c r="E15" s="209">
        <f>VLOOKUP(A15,'Appendix B'!A:F,6,FALSE)</f>
        <v>10000</v>
      </c>
      <c r="F15" s="209">
        <f>IF(ISNA(VLOOKUP(A15,Profiles!$A$2:$F$113,6,FALSE)),0,(VLOOKUP(A15,Profiles!$A$2:$F$113,6,FALSE)))</f>
        <v>0</v>
      </c>
      <c r="G15" s="171">
        <f t="shared" si="0"/>
        <v>0</v>
      </c>
      <c r="H15" s="170" t="str">
        <f>VLOOKUP(A15,'Appendix B'!A:A,1,FALSE)</f>
        <v>A4828</v>
      </c>
      <c r="I15" s="209">
        <f t="shared" si="1"/>
        <v>0</v>
      </c>
    </row>
    <row r="16" spans="1:9" ht="15">
      <c r="A16" s="170" t="s">
        <v>308</v>
      </c>
      <c r="B16" s="170" t="s">
        <v>309</v>
      </c>
      <c r="C16" s="209">
        <v>200000</v>
      </c>
      <c r="D16" s="209">
        <v>200000</v>
      </c>
      <c r="E16" s="209">
        <f>VLOOKUP(A16,'Appendix B'!A:F,6,FALSE)</f>
        <v>200000</v>
      </c>
      <c r="F16" s="209">
        <f>IF(ISNA(VLOOKUP(A16,Profiles!$A$2:$F$113,6,FALSE)),0,(VLOOKUP(A16,Profiles!$A$2:$F$113,6,FALSE)))</f>
        <v>0</v>
      </c>
      <c r="G16" s="171">
        <f t="shared" si="0"/>
        <v>0</v>
      </c>
      <c r="H16" s="170" t="str">
        <f>VLOOKUP(A16,'Appendix B'!A:A,1,FALSE)</f>
        <v>A4829</v>
      </c>
      <c r="I16" s="209">
        <f t="shared" si="1"/>
        <v>0</v>
      </c>
    </row>
    <row r="17" spans="1:10" ht="15">
      <c r="A17" s="170" t="s">
        <v>162</v>
      </c>
      <c r="B17" s="170" t="s">
        <v>310</v>
      </c>
      <c r="C17" s="209">
        <v>1000000</v>
      </c>
      <c r="D17" s="209">
        <v>1000000</v>
      </c>
      <c r="E17" s="209">
        <f>VLOOKUP(A17,'Appendix B'!A:F,6,FALSE)</f>
        <v>100000</v>
      </c>
      <c r="F17" s="209">
        <f>IF(ISNA(VLOOKUP(A17,Profiles!$A$2:$F$113,6,FALSE)),0,(VLOOKUP(A17,Profiles!$A$2:$F$113,6,FALSE)))</f>
        <v>0</v>
      </c>
      <c r="G17" s="171">
        <f t="shared" si="0"/>
        <v>0</v>
      </c>
      <c r="H17" s="170" t="str">
        <f>VLOOKUP(A17,'Appendix B'!A:A,1,FALSE)</f>
        <v>A4830</v>
      </c>
      <c r="I17" s="209">
        <f t="shared" si="1"/>
        <v>-900000</v>
      </c>
      <c r="J17" s="209">
        <v>900000</v>
      </c>
    </row>
    <row r="18" spans="1:9" ht="15">
      <c r="A18" s="170" t="s">
        <v>84</v>
      </c>
      <c r="B18" s="170" t="s">
        <v>694</v>
      </c>
      <c r="C18" s="209">
        <v>27000</v>
      </c>
      <c r="D18" s="209">
        <v>27000</v>
      </c>
      <c r="E18" s="209">
        <f>VLOOKUP(A18,'Appendix B'!A:F,6,FALSE)</f>
        <v>27000</v>
      </c>
      <c r="F18" s="209">
        <f>IF(ISNA(VLOOKUP(A18,Profiles!$A$2:$F$113,6,FALSE)),0,(VLOOKUP(A18,Profiles!$A$2:$F$113,6,FALSE)))</f>
        <v>0</v>
      </c>
      <c r="G18" s="171">
        <f t="shared" si="0"/>
        <v>0</v>
      </c>
      <c r="H18" s="170" t="str">
        <f>VLOOKUP(A18,'Appendix B'!A:A,1,FALSE)</f>
        <v>B0003</v>
      </c>
      <c r="I18" s="209">
        <f t="shared" si="1"/>
        <v>0</v>
      </c>
    </row>
    <row r="19" spans="1:9" ht="15">
      <c r="A19" s="170" t="s">
        <v>71</v>
      </c>
      <c r="B19" s="170" t="s">
        <v>311</v>
      </c>
      <c r="C19" s="209">
        <v>19440</v>
      </c>
      <c r="D19" s="209">
        <v>19440</v>
      </c>
      <c r="E19" s="209">
        <f>VLOOKUP(A19,'Appendix B'!A:F,6,FALSE)</f>
        <v>19440</v>
      </c>
      <c r="F19" s="209">
        <f>IF(ISNA(VLOOKUP(A19,Profiles!$A$2:$F$113,6,FALSE)),0,(VLOOKUP(A19,Profiles!$A$2:$F$113,6,FALSE)))</f>
        <v>19440</v>
      </c>
      <c r="G19" s="171">
        <f t="shared" si="0"/>
        <v>32105.6</v>
      </c>
      <c r="H19" s="170" t="str">
        <f>VLOOKUP(A19,'Appendix B'!A:A,1,FALSE)</f>
        <v>B0010</v>
      </c>
      <c r="I19" s="209">
        <f t="shared" si="1"/>
        <v>0</v>
      </c>
    </row>
    <row r="20" spans="1:9" ht="15">
      <c r="A20" s="170" t="s">
        <v>73</v>
      </c>
      <c r="B20" s="170" t="s">
        <v>695</v>
      </c>
      <c r="C20" s="209">
        <v>56900</v>
      </c>
      <c r="D20" s="209">
        <v>56900</v>
      </c>
      <c r="E20" s="209">
        <f>VLOOKUP(A20,'Appendix B'!A:F,6,FALSE)</f>
        <v>56900</v>
      </c>
      <c r="F20" s="209">
        <f>IF(ISNA(VLOOKUP(A20,Profiles!$A$2:$F$113,6,FALSE)),0,(VLOOKUP(A20,Profiles!$A$2:$F$113,6,FALSE)))</f>
        <v>0</v>
      </c>
      <c r="G20" s="171">
        <f t="shared" si="0"/>
        <v>0</v>
      </c>
      <c r="H20" s="170" t="str">
        <f>VLOOKUP(A20,'Appendix B'!A:A,1,FALSE)</f>
        <v>B0027</v>
      </c>
      <c r="I20" s="209">
        <f t="shared" si="1"/>
        <v>0</v>
      </c>
    </row>
    <row r="21" spans="1:9" ht="15">
      <c r="A21" s="170" t="s">
        <v>75</v>
      </c>
      <c r="B21" s="170" t="s">
        <v>312</v>
      </c>
      <c r="C21" s="209">
        <v>113200</v>
      </c>
      <c r="D21" s="209">
        <v>113200</v>
      </c>
      <c r="E21" s="209">
        <f>VLOOKUP(A21,'Appendix B'!A:F,6,FALSE)</f>
        <v>113200</v>
      </c>
      <c r="F21" s="209">
        <f>IF(ISNA(VLOOKUP(A21,Profiles!$A$2:$F$113,6,FALSE)),0,(VLOOKUP(A21,Profiles!$A$2:$F$113,6,FALSE)))</f>
        <v>0</v>
      </c>
      <c r="G21" s="171">
        <f t="shared" si="0"/>
        <v>47.29</v>
      </c>
      <c r="H21" s="170" t="str">
        <f>VLOOKUP(A21,'Appendix B'!A:A,1,FALSE)</f>
        <v>B0028</v>
      </c>
      <c r="I21" s="209">
        <f t="shared" si="1"/>
        <v>0</v>
      </c>
    </row>
    <row r="22" spans="1:9" ht="15">
      <c r="A22" s="170" t="s">
        <v>66</v>
      </c>
      <c r="B22" s="170" t="s">
        <v>63</v>
      </c>
      <c r="C22" s="209">
        <v>367170</v>
      </c>
      <c r="D22" s="209">
        <v>367170</v>
      </c>
      <c r="E22" s="209">
        <f>VLOOKUP(A22,'Appendix B'!A:F,6,FALSE)</f>
        <v>367170</v>
      </c>
      <c r="F22" s="209">
        <f>IF(ISNA(VLOOKUP(A22,Profiles!$A$2:$F$113,6,FALSE)),0,(VLOOKUP(A22,Profiles!$A$2:$F$113,6,FALSE)))</f>
        <v>0</v>
      </c>
      <c r="G22" s="171">
        <f t="shared" si="0"/>
        <v>9429.22</v>
      </c>
      <c r="H22" s="170" t="str">
        <f>VLOOKUP(A22,'Appendix B'!A:A,1,FALSE)</f>
        <v>B0033</v>
      </c>
      <c r="I22" s="209">
        <f t="shared" si="1"/>
        <v>0</v>
      </c>
    </row>
    <row r="23" spans="1:9" ht="15">
      <c r="A23" s="170" t="s">
        <v>68</v>
      </c>
      <c r="B23" s="170" t="s">
        <v>313</v>
      </c>
      <c r="C23" s="209">
        <v>576300</v>
      </c>
      <c r="D23" s="209">
        <v>576300</v>
      </c>
      <c r="E23" s="209">
        <f>VLOOKUP(A23,'Appendix B'!A:F,6,FALSE)</f>
        <v>576300</v>
      </c>
      <c r="F23" s="209">
        <f>IF(ISNA(VLOOKUP(A23,Profiles!$A$2:$F$113,6,FALSE)),0,(VLOOKUP(A23,Profiles!$A$2:$F$113,6,FALSE)))</f>
        <v>21000</v>
      </c>
      <c r="G23" s="171">
        <f t="shared" si="0"/>
        <v>20470.25</v>
      </c>
      <c r="H23" s="170" t="str">
        <f>VLOOKUP(A23,'Appendix B'!A:A,1,FALSE)</f>
        <v>B0034</v>
      </c>
      <c r="I23" s="209">
        <f t="shared" si="1"/>
        <v>0</v>
      </c>
    </row>
    <row r="24" spans="1:9" ht="15">
      <c r="A24" s="170" t="s">
        <v>77</v>
      </c>
      <c r="B24" s="170" t="s">
        <v>314</v>
      </c>
      <c r="C24" s="209">
        <v>202100</v>
      </c>
      <c r="D24" s="209">
        <v>202099.93</v>
      </c>
      <c r="E24" s="209">
        <f>VLOOKUP(A24,'Appendix B'!A:F,6,FALSE)</f>
        <v>202100</v>
      </c>
      <c r="F24" s="209">
        <f>IF(ISNA(VLOOKUP(A24,Profiles!$A$2:$F$113,6,FALSE)),0,(VLOOKUP(A24,Profiles!$A$2:$F$113,6,FALSE)))</f>
        <v>57000</v>
      </c>
      <c r="G24" s="171">
        <f t="shared" si="0"/>
        <v>56545.65</v>
      </c>
      <c r="H24" s="170" t="str">
        <f>VLOOKUP(A24,'Appendix B'!A:A,1,FALSE)</f>
        <v>B0036</v>
      </c>
      <c r="I24" s="209">
        <f t="shared" si="1"/>
        <v>0</v>
      </c>
    </row>
    <row r="25" spans="1:9" ht="15">
      <c r="A25" s="170" t="s">
        <v>105</v>
      </c>
      <c r="B25" s="170" t="s">
        <v>315</v>
      </c>
      <c r="C25" s="209">
        <v>296100</v>
      </c>
      <c r="D25" s="209">
        <v>296100</v>
      </c>
      <c r="E25" s="209">
        <f>VLOOKUP(A25,'Appendix B'!A:F,6,FALSE)</f>
        <v>296100</v>
      </c>
      <c r="F25" s="209">
        <f>IF(ISNA(VLOOKUP(A25,Profiles!$A$2:$F$113,6,FALSE)),0,(VLOOKUP(A25,Profiles!$A$2:$F$113,6,FALSE)))</f>
        <v>1500</v>
      </c>
      <c r="G25" s="171">
        <f t="shared" si="0"/>
        <v>1447.19</v>
      </c>
      <c r="H25" s="170" t="str">
        <f>VLOOKUP(A25,'Appendix B'!A:A,1,FALSE)</f>
        <v>B0037</v>
      </c>
      <c r="I25" s="209">
        <f t="shared" si="1"/>
        <v>0</v>
      </c>
    </row>
    <row r="26" spans="1:9" ht="15">
      <c r="A26" s="170" t="s">
        <v>86</v>
      </c>
      <c r="B26" s="170" t="s">
        <v>316</v>
      </c>
      <c r="C26" s="209">
        <v>217280</v>
      </c>
      <c r="D26" s="209">
        <v>217280</v>
      </c>
      <c r="E26" s="209">
        <f>VLOOKUP(A26,'Appendix B'!A:F,6,FALSE)</f>
        <v>217280</v>
      </c>
      <c r="F26" s="209">
        <f>IF(ISNA(VLOOKUP(A26,Profiles!$A$2:$F$113,6,FALSE)),0,(VLOOKUP(A26,Profiles!$A$2:$F$113,6,FALSE)))</f>
        <v>5000</v>
      </c>
      <c r="G26" s="171">
        <f t="shared" si="0"/>
        <v>3460.45</v>
      </c>
      <c r="H26" s="170" t="str">
        <f>VLOOKUP(A26,'Appendix B'!A:A,1,FALSE)</f>
        <v>B0040</v>
      </c>
      <c r="I26" s="209">
        <f t="shared" si="1"/>
        <v>0</v>
      </c>
    </row>
    <row r="27" spans="1:9" ht="15">
      <c r="A27" s="170" t="s">
        <v>88</v>
      </c>
      <c r="B27" s="170" t="s">
        <v>317</v>
      </c>
      <c r="C27" s="209">
        <v>67480</v>
      </c>
      <c r="D27" s="209">
        <v>67480.49</v>
      </c>
      <c r="E27" s="209">
        <f>VLOOKUP(A27,'Appendix B'!A:F,6,FALSE)</f>
        <v>67480</v>
      </c>
      <c r="F27" s="209">
        <f>IF(ISNA(VLOOKUP(A27,Profiles!$A$2:$F$113,6,FALSE)),0,(VLOOKUP(A27,Profiles!$A$2:$F$113,6,FALSE)))</f>
        <v>3000</v>
      </c>
      <c r="G27" s="171">
        <f t="shared" si="0"/>
        <v>2963.69</v>
      </c>
      <c r="H27" s="170" t="str">
        <f>VLOOKUP(A27,'Appendix B'!A:A,1,FALSE)</f>
        <v>B0041</v>
      </c>
      <c r="I27" s="209">
        <f t="shared" si="1"/>
        <v>0</v>
      </c>
    </row>
    <row r="28" spans="1:9" ht="15">
      <c r="A28" s="170" t="s">
        <v>318</v>
      </c>
      <c r="B28" s="170" t="s">
        <v>319</v>
      </c>
      <c r="C28" s="209">
        <v>203000</v>
      </c>
      <c r="D28" s="209">
        <v>203000</v>
      </c>
      <c r="E28" s="209">
        <f>VLOOKUP(A28,'Appendix B'!A:F,6,FALSE)</f>
        <v>203000</v>
      </c>
      <c r="F28" s="209">
        <f>IF(ISNA(VLOOKUP(A28,Profiles!$A$2:$F$113,6,FALSE)),0,(VLOOKUP(A28,Profiles!$A$2:$F$113,6,FALSE)))</f>
        <v>50000</v>
      </c>
      <c r="G28" s="171">
        <f t="shared" si="0"/>
        <v>51200.9</v>
      </c>
      <c r="H28" s="170" t="str">
        <f>VLOOKUP(A28,'Appendix B'!A:A,1,FALSE)</f>
        <v>B0043</v>
      </c>
      <c r="I28" s="209">
        <f t="shared" si="1"/>
        <v>0</v>
      </c>
    </row>
    <row r="29" spans="1:9" ht="15">
      <c r="A29" s="170" t="s">
        <v>92</v>
      </c>
      <c r="B29" s="170" t="s">
        <v>320</v>
      </c>
      <c r="C29" s="209">
        <v>47200</v>
      </c>
      <c r="D29" s="209">
        <v>47200</v>
      </c>
      <c r="E29" s="209">
        <f>VLOOKUP(A29,'Appendix B'!A:F,6,FALSE)</f>
        <v>47200</v>
      </c>
      <c r="F29" s="209">
        <f>IF(ISNA(VLOOKUP(A29,Profiles!$A$2:$F$113,6,FALSE)),0,(VLOOKUP(A29,Profiles!$A$2:$F$113,6,FALSE)))</f>
        <v>0</v>
      </c>
      <c r="G29" s="171">
        <f t="shared" si="0"/>
        <v>0</v>
      </c>
      <c r="H29" s="170" t="str">
        <f>VLOOKUP(A29,'Appendix B'!A:A,1,FALSE)</f>
        <v>B0044</v>
      </c>
      <c r="I29" s="209">
        <f t="shared" si="1"/>
        <v>0</v>
      </c>
    </row>
    <row r="30" spans="1:9" ht="15">
      <c r="A30" s="170" t="s">
        <v>94</v>
      </c>
      <c r="B30" s="170" t="s">
        <v>321</v>
      </c>
      <c r="C30" s="209">
        <v>39250</v>
      </c>
      <c r="D30" s="209">
        <v>39250</v>
      </c>
      <c r="E30" s="209">
        <f>VLOOKUP(A30,'Appendix B'!A:F,6,FALSE)</f>
        <v>39250</v>
      </c>
      <c r="F30" s="209">
        <f>IF(ISNA(VLOOKUP(A30,Profiles!$A$2:$F$113,6,FALSE)),0,(VLOOKUP(A30,Profiles!$A$2:$F$113,6,FALSE)))</f>
        <v>2000</v>
      </c>
      <c r="G30" s="171">
        <f t="shared" si="0"/>
        <v>1615.63</v>
      </c>
      <c r="H30" s="170" t="str">
        <f>VLOOKUP(A30,'Appendix B'!A:A,1,FALSE)</f>
        <v>B0045</v>
      </c>
      <c r="I30" s="209">
        <f t="shared" si="1"/>
        <v>0</v>
      </c>
    </row>
    <row r="31" spans="1:9" ht="15">
      <c r="A31" s="170" t="s">
        <v>96</v>
      </c>
      <c r="B31" s="170" t="s">
        <v>322</v>
      </c>
      <c r="C31" s="209">
        <v>75720</v>
      </c>
      <c r="D31" s="209">
        <v>75720</v>
      </c>
      <c r="E31" s="209">
        <f>VLOOKUP(A31,'Appendix B'!A:F,6,FALSE)</f>
        <v>75720</v>
      </c>
      <c r="F31" s="209">
        <f>IF(ISNA(VLOOKUP(A31,Profiles!$A$2:$F$113,6,FALSE)),0,(VLOOKUP(A31,Profiles!$A$2:$F$113,6,FALSE)))</f>
        <v>4000</v>
      </c>
      <c r="G31" s="171">
        <f t="shared" si="0"/>
        <v>3747.79</v>
      </c>
      <c r="H31" s="170" t="str">
        <f>VLOOKUP(A31,'Appendix B'!A:A,1,FALSE)</f>
        <v>B0046</v>
      </c>
      <c r="I31" s="209">
        <f t="shared" si="1"/>
        <v>0</v>
      </c>
    </row>
    <row r="32" spans="1:9" ht="15">
      <c r="A32" s="170" t="s">
        <v>120</v>
      </c>
      <c r="B32" s="170" t="s">
        <v>323</v>
      </c>
      <c r="C32" s="209">
        <v>55200</v>
      </c>
      <c r="D32" s="209">
        <v>55200</v>
      </c>
      <c r="E32" s="209">
        <f>VLOOKUP(A32,'Appendix B'!A:F,6,FALSE)</f>
        <v>55200</v>
      </c>
      <c r="F32" s="209">
        <f>IF(ISNA(VLOOKUP(A32,Profiles!$A$2:$F$113,6,FALSE)),0,(VLOOKUP(A32,Profiles!$A$2:$F$113,6,FALSE)))</f>
        <v>4000</v>
      </c>
      <c r="G32" s="171">
        <f aca="true" t="shared" si="2" ref="G32:G64">IF(ISNA(VLOOKUP($A32,$A$125:$D$237,4,FALSE)),0,(VLOOKUP($A32,$A$125:$D$237,4,FALSE)))</f>
        <v>3738.04</v>
      </c>
      <c r="H32" s="170" t="str">
        <f>VLOOKUP(A32,'Appendix B'!A:A,1,FALSE)</f>
        <v>B0048</v>
      </c>
      <c r="I32" s="209">
        <f t="shared" si="1"/>
        <v>0</v>
      </c>
    </row>
    <row r="33" spans="1:9" ht="15">
      <c r="A33" s="170" t="s">
        <v>122</v>
      </c>
      <c r="B33" s="170" t="s">
        <v>324</v>
      </c>
      <c r="C33" s="209">
        <v>43800</v>
      </c>
      <c r="D33" s="209">
        <v>43800</v>
      </c>
      <c r="E33" s="209">
        <f>VLOOKUP(A33,'Appendix B'!A:F,6,FALSE)</f>
        <v>43800</v>
      </c>
      <c r="F33" s="209">
        <f>IF(ISNA(VLOOKUP(A33,Profiles!$A$2:$F$113,6,FALSE)),0,(VLOOKUP(A33,Profiles!$A$2:$F$113,6,FALSE)))</f>
        <v>0</v>
      </c>
      <c r="G33" s="171">
        <f t="shared" si="2"/>
        <v>0</v>
      </c>
      <c r="H33" s="170" t="str">
        <f>VLOOKUP(A33,'Appendix B'!A:A,1,FALSE)</f>
        <v>B0050</v>
      </c>
      <c r="I33" s="209">
        <f t="shared" si="1"/>
        <v>0</v>
      </c>
    </row>
    <row r="34" spans="1:9" ht="15">
      <c r="A34" s="170" t="s">
        <v>124</v>
      </c>
      <c r="B34" s="170" t="s">
        <v>325</v>
      </c>
      <c r="C34" s="209">
        <v>460300</v>
      </c>
      <c r="D34" s="209">
        <v>460300</v>
      </c>
      <c r="E34" s="209">
        <f>VLOOKUP(A34,'Appendix B'!A:F,6,FALSE)</f>
        <v>460300</v>
      </c>
      <c r="F34" s="209">
        <f>IF(ISNA(VLOOKUP(A34,Profiles!$A$2:$F$113,6,FALSE)),0,(VLOOKUP(A34,Profiles!$A$2:$F$113,6,FALSE)))</f>
        <v>125000</v>
      </c>
      <c r="G34" s="171">
        <f t="shared" si="2"/>
        <v>124376.48</v>
      </c>
      <c r="H34" s="170" t="str">
        <f>VLOOKUP(A34,'Appendix B'!A:A,1,FALSE)</f>
        <v>B0051</v>
      </c>
      <c r="I34" s="209">
        <f t="shared" si="1"/>
        <v>0</v>
      </c>
    </row>
    <row r="35" spans="1:9" ht="15">
      <c r="A35" s="170" t="s">
        <v>109</v>
      </c>
      <c r="B35" s="170" t="s">
        <v>326</v>
      </c>
      <c r="C35" s="209">
        <v>90000</v>
      </c>
      <c r="D35" s="209">
        <v>90000</v>
      </c>
      <c r="E35" s="209">
        <f>VLOOKUP(A35,'Appendix B'!A:F,6,FALSE)</f>
        <v>90000</v>
      </c>
      <c r="F35" s="209">
        <f>IF(ISNA(VLOOKUP(A35,Profiles!$A$2:$F$113,6,FALSE)),0,(VLOOKUP(A35,Profiles!$A$2:$F$113,6,FALSE)))</f>
        <v>48000</v>
      </c>
      <c r="G35" s="171">
        <f t="shared" si="2"/>
        <v>48754.84</v>
      </c>
      <c r="H35" s="170" t="str">
        <f>VLOOKUP(A35,'Appendix B'!A:A,1,FALSE)</f>
        <v>B0052</v>
      </c>
      <c r="I35" s="209">
        <f t="shared" si="1"/>
        <v>0</v>
      </c>
    </row>
    <row r="36" spans="1:9" ht="15">
      <c r="A36" s="170" t="s">
        <v>135</v>
      </c>
      <c r="B36" s="170" t="s">
        <v>134</v>
      </c>
      <c r="C36" s="209">
        <v>425480</v>
      </c>
      <c r="D36" s="209">
        <v>425480</v>
      </c>
      <c r="E36" s="209">
        <f>VLOOKUP(A36,'Appendix B'!A:F,6,FALSE)</f>
        <v>335480</v>
      </c>
      <c r="F36" s="209">
        <f>IF(ISNA(VLOOKUP(A36,Profiles!$A$2:$F$113,6,FALSE)),0,(VLOOKUP(A36,Profiles!$A$2:$F$113,6,FALSE)))</f>
        <v>30000</v>
      </c>
      <c r="G36" s="171">
        <f t="shared" si="2"/>
        <v>29503.92</v>
      </c>
      <c r="H36" s="170" t="str">
        <f>VLOOKUP(A36,'Appendix B'!A:A,1,FALSE)</f>
        <v>B0054</v>
      </c>
      <c r="I36" s="209">
        <f t="shared" si="1"/>
        <v>-90000</v>
      </c>
    </row>
    <row r="37" spans="1:10" ht="15">
      <c r="A37" s="170" t="s">
        <v>117</v>
      </c>
      <c r="B37" s="170" t="s">
        <v>327</v>
      </c>
      <c r="C37" s="209">
        <v>1880000</v>
      </c>
      <c r="D37" s="209">
        <v>1880000</v>
      </c>
      <c r="E37" s="209">
        <f>VLOOKUP(A37,'Appendix B'!A:F,6,FALSE)</f>
        <v>0</v>
      </c>
      <c r="F37" s="209">
        <f>IF(ISNA(VLOOKUP(A37,Profiles!$A$2:$F$113,6,FALSE)),0,(VLOOKUP(A37,Profiles!$A$2:$F$113,6,FALSE)))</f>
        <v>0</v>
      </c>
      <c r="G37" s="171">
        <f t="shared" si="2"/>
        <v>0</v>
      </c>
      <c r="H37" s="170" t="str">
        <f>VLOOKUP(A37,'Appendix B'!A:A,1,FALSE)</f>
        <v>B0060</v>
      </c>
      <c r="I37" s="209">
        <f t="shared" si="1"/>
        <v>-1880000</v>
      </c>
      <c r="J37" s="209">
        <f>1880000-250000</f>
        <v>1630000</v>
      </c>
    </row>
    <row r="38" spans="1:9" ht="15">
      <c r="A38" s="170" t="s">
        <v>79</v>
      </c>
      <c r="B38" s="170" t="s">
        <v>328</v>
      </c>
      <c r="C38" s="209">
        <v>125200</v>
      </c>
      <c r="D38" s="209">
        <v>125200</v>
      </c>
      <c r="E38" s="209">
        <f>VLOOKUP(A38,'Appendix B'!A:F,6,FALSE)</f>
        <v>125200</v>
      </c>
      <c r="F38" s="209">
        <f>IF(ISNA(VLOOKUP(A38,Profiles!$A$2:$F$113,6,FALSE)),0,(VLOOKUP(A38,Profiles!$A$2:$F$113,6,FALSE)))</f>
        <v>0</v>
      </c>
      <c r="G38" s="171">
        <f t="shared" si="2"/>
        <v>0</v>
      </c>
      <c r="H38" s="170" t="str">
        <f>VLOOKUP(A38,'Appendix B'!A:A,1,FALSE)</f>
        <v>B0063</v>
      </c>
      <c r="I38" s="209">
        <f t="shared" si="1"/>
        <v>0</v>
      </c>
    </row>
    <row r="39" spans="1:9" ht="15">
      <c r="A39" s="170" t="s">
        <v>81</v>
      </c>
      <c r="B39" s="170" t="s">
        <v>691</v>
      </c>
      <c r="C39" s="209">
        <v>0</v>
      </c>
      <c r="D39" s="209">
        <v>0</v>
      </c>
      <c r="E39" s="209">
        <f>VLOOKUP(A39,'Appendix B'!A:F,6,FALSE)</f>
        <v>0</v>
      </c>
      <c r="F39" s="209">
        <f>IF(ISNA(VLOOKUP(A39,Profiles!$A$2:$F$113,6,FALSE)),0,(VLOOKUP(A39,Profiles!$A$2:$F$113,6,FALSE)))</f>
        <v>0</v>
      </c>
      <c r="G39" s="175"/>
      <c r="H39" s="170" t="str">
        <f>VLOOKUP(A39,'Appendix B'!A:A,1,FALSE)</f>
        <v>B0064</v>
      </c>
      <c r="I39" s="209">
        <f t="shared" si="1"/>
        <v>0</v>
      </c>
    </row>
    <row r="40" spans="1:9" ht="15">
      <c r="A40" s="170" t="s">
        <v>126</v>
      </c>
      <c r="B40" s="170" t="s">
        <v>329</v>
      </c>
      <c r="C40" s="209">
        <v>54600</v>
      </c>
      <c r="D40" s="209">
        <v>54600</v>
      </c>
      <c r="E40" s="209">
        <f>VLOOKUP(A40,'Appendix B'!A:F,6,FALSE)</f>
        <v>54600</v>
      </c>
      <c r="F40" s="209">
        <f>IF(ISNA(VLOOKUP(A40,Profiles!$A$2:$F$113,6,FALSE)),0,(VLOOKUP(A40,Profiles!$A$2:$F$113,6,FALSE)))</f>
        <v>0</v>
      </c>
      <c r="G40" s="171">
        <f t="shared" si="2"/>
        <v>0</v>
      </c>
      <c r="H40" s="170" t="str">
        <f>VLOOKUP(A40,'Appendix B'!A:A,1,FALSE)</f>
        <v>B0065</v>
      </c>
      <c r="I40" s="209">
        <f t="shared" si="1"/>
        <v>0</v>
      </c>
    </row>
    <row r="41" spans="1:9" ht="15">
      <c r="A41" s="170" t="s">
        <v>128</v>
      </c>
      <c r="B41" s="170" t="s">
        <v>330</v>
      </c>
      <c r="C41" s="209">
        <v>172000</v>
      </c>
      <c r="D41" s="209">
        <v>172000</v>
      </c>
      <c r="E41" s="209">
        <f>VLOOKUP(A41,'Appendix B'!A:F,6,FALSE)</f>
        <v>172000</v>
      </c>
      <c r="F41" s="209">
        <f>IF(ISNA(VLOOKUP(A41,Profiles!$A$2:$F$113,6,FALSE)),0,(VLOOKUP(A41,Profiles!$A$2:$F$113,6,FALSE)))</f>
        <v>72000</v>
      </c>
      <c r="G41" s="171">
        <f t="shared" si="2"/>
        <v>76854.7</v>
      </c>
      <c r="H41" s="170" t="str">
        <f>VLOOKUP(A41,'Appendix B'!A:A,1,FALSE)</f>
        <v>B0067</v>
      </c>
      <c r="I41" s="209">
        <f t="shared" si="1"/>
        <v>0</v>
      </c>
    </row>
    <row r="42" spans="1:9" ht="15">
      <c r="A42" s="170" t="s">
        <v>141</v>
      </c>
      <c r="B42" s="170" t="s">
        <v>331</v>
      </c>
      <c r="C42" s="209">
        <v>333000</v>
      </c>
      <c r="D42" s="209">
        <v>333000</v>
      </c>
      <c r="E42" s="209">
        <f>VLOOKUP(A42,'Appendix B'!A:F,6,FALSE)</f>
        <v>333000</v>
      </c>
      <c r="F42" s="209">
        <f>IF(ISNA(VLOOKUP(A42,Profiles!$A$2:$F$113,6,FALSE)),0,(VLOOKUP(A42,Profiles!$A$2:$F$113,6,FALSE)))</f>
        <v>0</v>
      </c>
      <c r="G42" s="171">
        <f t="shared" si="2"/>
        <v>304.69</v>
      </c>
      <c r="H42" s="170" t="str">
        <f>VLOOKUP(A42,'Appendix B'!A:A,1,FALSE)</f>
        <v>B0068</v>
      </c>
      <c r="I42" s="209">
        <f t="shared" si="1"/>
        <v>0</v>
      </c>
    </row>
    <row r="43" spans="1:9" ht="15">
      <c r="A43" s="170" t="s">
        <v>130</v>
      </c>
      <c r="B43" s="170" t="s">
        <v>332</v>
      </c>
      <c r="C43" s="209">
        <v>47000</v>
      </c>
      <c r="D43" s="209">
        <v>47000</v>
      </c>
      <c r="E43" s="209">
        <f>VLOOKUP(A43,'Appendix B'!A:F,6,FALSE)</f>
        <v>47000</v>
      </c>
      <c r="F43" s="209">
        <f>IF(ISNA(VLOOKUP(A43,Profiles!$A$2:$F$113,6,FALSE)),0,(VLOOKUP(A43,Profiles!$A$2:$F$113,6,FALSE)))</f>
        <v>47000</v>
      </c>
      <c r="G43" s="171">
        <f t="shared" si="2"/>
        <v>50719</v>
      </c>
      <c r="H43" s="170" t="str">
        <f>VLOOKUP(A43,'Appendix B'!A:A,1,FALSE)</f>
        <v>B0071</v>
      </c>
      <c r="I43" s="209">
        <f t="shared" si="1"/>
        <v>0</v>
      </c>
    </row>
    <row r="44" spans="1:9" ht="15">
      <c r="A44" s="170" t="s">
        <v>333</v>
      </c>
      <c r="B44" s="170" t="s">
        <v>334</v>
      </c>
      <c r="C44" s="209">
        <v>350000</v>
      </c>
      <c r="D44" s="209">
        <v>350000</v>
      </c>
      <c r="E44" s="209">
        <f>VLOOKUP(A44,'Appendix B'!A:F,6,FALSE)</f>
        <v>350000</v>
      </c>
      <c r="F44" s="209">
        <f>IF(ISNA(VLOOKUP(A44,Profiles!$A$2:$F$113,6,FALSE)),0,(VLOOKUP(A44,Profiles!$A$2:$F$113,6,FALSE)))</f>
        <v>0</v>
      </c>
      <c r="G44" s="171">
        <f t="shared" si="2"/>
        <v>0</v>
      </c>
      <c r="H44" s="170" t="str">
        <f>VLOOKUP(A44,'Appendix B'!A:A,1,FALSE)</f>
        <v>B0072</v>
      </c>
      <c r="I44" s="209">
        <f t="shared" si="1"/>
        <v>0</v>
      </c>
    </row>
    <row r="45" spans="1:9" ht="15">
      <c r="A45" s="170" t="s">
        <v>335</v>
      </c>
      <c r="B45" s="170" t="s">
        <v>336</v>
      </c>
      <c r="C45" s="209">
        <v>5000</v>
      </c>
      <c r="D45" s="209">
        <v>5000</v>
      </c>
      <c r="E45" s="209">
        <f>VLOOKUP(A45,'Appendix B'!A:F,6,FALSE)</f>
        <v>5000</v>
      </c>
      <c r="F45" s="209">
        <f>IF(ISNA(VLOOKUP(A45,Profiles!$A$2:$F$113,6,FALSE)),0,(VLOOKUP(A45,Profiles!$A$2:$F$113,6,FALSE)))</f>
        <v>0</v>
      </c>
      <c r="G45" s="171">
        <f t="shared" si="2"/>
        <v>0</v>
      </c>
      <c r="H45" s="170" t="str">
        <f>VLOOKUP(A45,'Appendix B'!A:A,1,FALSE)</f>
        <v>B0073</v>
      </c>
      <c r="I45" s="209">
        <f t="shared" si="1"/>
        <v>0</v>
      </c>
    </row>
    <row r="46" spans="1:9" ht="15">
      <c r="A46" s="170" t="s">
        <v>337</v>
      </c>
      <c r="B46" s="170" t="s">
        <v>338</v>
      </c>
      <c r="C46" s="209">
        <v>125000</v>
      </c>
      <c r="D46" s="209">
        <v>125000</v>
      </c>
      <c r="E46" s="209">
        <f>VLOOKUP(A46,'Appendix B'!A:F,6,FALSE)</f>
        <v>125000</v>
      </c>
      <c r="F46" s="209">
        <f>IF(ISNA(VLOOKUP(A46,Profiles!$A$2:$F$113,6,FALSE)),0,(VLOOKUP(A46,Profiles!$A$2:$F$113,6,FALSE)))</f>
        <v>17000</v>
      </c>
      <c r="G46" s="171">
        <f t="shared" si="2"/>
        <v>16625.3</v>
      </c>
      <c r="H46" s="170" t="str">
        <f>VLOOKUP(A46,'Appendix B'!A:A,1,FALSE)</f>
        <v>B0074</v>
      </c>
      <c r="I46" s="209">
        <f t="shared" si="1"/>
        <v>0</v>
      </c>
    </row>
    <row r="47" spans="1:9" ht="15">
      <c r="A47" s="170" t="s">
        <v>339</v>
      </c>
      <c r="B47" s="170" t="s">
        <v>340</v>
      </c>
      <c r="C47" s="209">
        <v>550000</v>
      </c>
      <c r="D47" s="209">
        <v>550000</v>
      </c>
      <c r="E47" s="209">
        <f>VLOOKUP(A47,'Appendix B'!A:F,6,FALSE)</f>
        <v>550000</v>
      </c>
      <c r="F47" s="209">
        <f>IF(ISNA(VLOOKUP(A47,Profiles!$A$2:$F$113,6,FALSE)),0,(VLOOKUP(A47,Profiles!$A$2:$F$113,6,FALSE)))</f>
        <v>0</v>
      </c>
      <c r="G47" s="171">
        <f t="shared" si="2"/>
        <v>0</v>
      </c>
      <c r="H47" s="170" t="str">
        <f>VLOOKUP(A47,'Appendix B'!A:A,1,FALSE)</f>
        <v>B0075</v>
      </c>
      <c r="I47" s="209">
        <f t="shared" si="1"/>
        <v>0</v>
      </c>
    </row>
    <row r="48" spans="1:9" ht="15">
      <c r="A48" s="170" t="s">
        <v>341</v>
      </c>
      <c r="B48" s="170" t="s">
        <v>342</v>
      </c>
      <c r="C48" s="209">
        <v>200000</v>
      </c>
      <c r="D48" s="209">
        <v>200000</v>
      </c>
      <c r="E48" s="209">
        <f>VLOOKUP(A48,'Appendix B'!A:F,6,FALSE)</f>
        <v>200000</v>
      </c>
      <c r="F48" s="209">
        <f>IF(ISNA(VLOOKUP(A48,Profiles!$A$2:$F$113,6,FALSE)),0,(VLOOKUP(A48,Profiles!$A$2:$F$113,6,FALSE)))</f>
        <v>4000</v>
      </c>
      <c r="G48" s="171">
        <f t="shared" si="2"/>
        <v>3275.13</v>
      </c>
      <c r="H48" s="170" t="str">
        <f>VLOOKUP(A48,'Appendix B'!A:A,1,FALSE)</f>
        <v>B0076</v>
      </c>
      <c r="I48" s="209">
        <f t="shared" si="1"/>
        <v>0</v>
      </c>
    </row>
    <row r="49" spans="1:9" ht="15">
      <c r="A49" s="170" t="s">
        <v>343</v>
      </c>
      <c r="B49" s="170" t="s">
        <v>344</v>
      </c>
      <c r="C49" s="209">
        <v>150000</v>
      </c>
      <c r="D49" s="209">
        <v>150000</v>
      </c>
      <c r="E49" s="209">
        <f>VLOOKUP(A49,'Appendix B'!A:F,6,FALSE)</f>
        <v>150000</v>
      </c>
      <c r="F49" s="209">
        <f>IF(ISNA(VLOOKUP(A49,Profiles!$A$2:$F$113,6,FALSE)),0,(VLOOKUP(A49,Profiles!$A$2:$F$113,6,FALSE)))</f>
        <v>0</v>
      </c>
      <c r="G49" s="171">
        <f t="shared" si="2"/>
        <v>0</v>
      </c>
      <c r="H49" s="170" t="str">
        <f>VLOOKUP(A49,'Appendix B'!A:A,1,FALSE)</f>
        <v>B0077</v>
      </c>
      <c r="I49" s="209">
        <f t="shared" si="1"/>
        <v>0</v>
      </c>
    </row>
    <row r="50" spans="1:9" ht="15">
      <c r="A50" s="170" t="s">
        <v>345</v>
      </c>
      <c r="B50" s="170" t="s">
        <v>346</v>
      </c>
      <c r="C50" s="209">
        <v>3000</v>
      </c>
      <c r="D50" s="209">
        <v>3000</v>
      </c>
      <c r="E50" s="209">
        <f>VLOOKUP(A50,'Appendix B'!A:F,6,FALSE)</f>
        <v>3000</v>
      </c>
      <c r="F50" s="209">
        <f>IF(ISNA(VLOOKUP(A50,Profiles!$A$2:$F$113,6,FALSE)),0,(VLOOKUP(A50,Profiles!$A$2:$F$113,6,FALSE)))</f>
        <v>0</v>
      </c>
      <c r="G50" s="171">
        <f t="shared" si="2"/>
        <v>0</v>
      </c>
      <c r="H50" s="170" t="str">
        <f>VLOOKUP(A50,'Appendix B'!A:A,1,FALSE)</f>
        <v>B0078</v>
      </c>
      <c r="I50" s="209">
        <f t="shared" si="1"/>
        <v>0</v>
      </c>
    </row>
    <row r="51" spans="1:9" ht="15">
      <c r="A51" s="170" t="s">
        <v>347</v>
      </c>
      <c r="B51" s="170" t="s">
        <v>348</v>
      </c>
      <c r="C51" s="209">
        <v>8110</v>
      </c>
      <c r="D51" s="209">
        <v>8110</v>
      </c>
      <c r="E51" s="209">
        <f>VLOOKUP(A51,'Appendix B'!A:F,6,FALSE)</f>
        <v>8110</v>
      </c>
      <c r="F51" s="209">
        <f>IF(ISNA(VLOOKUP(A51,Profiles!$A$2:$F$113,6,FALSE)),0,(VLOOKUP(A51,Profiles!$A$2:$F$113,6,FALSE)))</f>
        <v>0</v>
      </c>
      <c r="G51" s="171">
        <f t="shared" si="2"/>
        <v>0</v>
      </c>
      <c r="H51" s="170" t="str">
        <f>VLOOKUP(A51,'Appendix B'!A:A,1,FALSE)</f>
        <v>B0079</v>
      </c>
      <c r="I51" s="209">
        <f t="shared" si="1"/>
        <v>0</v>
      </c>
    </row>
    <row r="52" spans="1:9" ht="15">
      <c r="A52" s="170" t="s">
        <v>349</v>
      </c>
      <c r="B52" s="170" t="s">
        <v>350</v>
      </c>
      <c r="C52" s="209">
        <v>150000</v>
      </c>
      <c r="D52" s="209">
        <v>150000</v>
      </c>
      <c r="E52" s="209">
        <f>VLOOKUP(A52,'Appendix B'!A:F,6,FALSE)</f>
        <v>150000</v>
      </c>
      <c r="F52" s="209">
        <f>IF(ISNA(VLOOKUP(A52,Profiles!$A$2:$F$113,6,FALSE)),0,(VLOOKUP(A52,Profiles!$A$2:$F$113,6,FALSE)))</f>
        <v>0</v>
      </c>
      <c r="G52" s="171">
        <f t="shared" si="2"/>
        <v>0</v>
      </c>
      <c r="H52" s="170" t="str">
        <f>VLOOKUP(A52,'Appendix B'!A:A,1,FALSE)</f>
        <v>B0080</v>
      </c>
      <c r="I52" s="209">
        <f t="shared" si="1"/>
        <v>0</v>
      </c>
    </row>
    <row r="53" spans="1:9" ht="15">
      <c r="A53" s="170" t="s">
        <v>203</v>
      </c>
      <c r="B53" s="170" t="s">
        <v>351</v>
      </c>
      <c r="C53" s="209">
        <v>200000</v>
      </c>
      <c r="D53" s="209">
        <v>200000</v>
      </c>
      <c r="E53" s="209">
        <f>VLOOKUP(A53,'Appendix B'!A:F,6,FALSE)</f>
        <v>200000</v>
      </c>
      <c r="F53" s="209">
        <f>IF(ISNA(VLOOKUP(A53,Profiles!$A$2:$F$113,6,FALSE)),0,(VLOOKUP(A53,Profiles!$A$2:$F$113,6,FALSE)))</f>
        <v>50000</v>
      </c>
      <c r="G53" s="171">
        <f t="shared" si="2"/>
        <v>43153.51</v>
      </c>
      <c r="H53" s="170" t="str">
        <f>VLOOKUP(A53,'Appendix B'!A:A,1,FALSE)</f>
        <v>C3039</v>
      </c>
      <c r="I53" s="209">
        <f t="shared" si="1"/>
        <v>0</v>
      </c>
    </row>
    <row r="54" spans="1:9" ht="15">
      <c r="A54" s="170" t="s">
        <v>145</v>
      </c>
      <c r="B54" s="170" t="s">
        <v>352</v>
      </c>
      <c r="C54" s="209">
        <v>11288</v>
      </c>
      <c r="D54" s="209">
        <v>11288</v>
      </c>
      <c r="E54" s="209">
        <f>VLOOKUP(A54,'Appendix B'!A:F,6,FALSE)</f>
        <v>11288</v>
      </c>
      <c r="F54" s="209">
        <f>IF(ISNA(VLOOKUP(A54,Profiles!$A$2:$F$113,6,FALSE)),0,(VLOOKUP(A54,Profiles!$A$2:$F$113,6,FALSE)))</f>
        <v>0</v>
      </c>
      <c r="G54" s="171">
        <f t="shared" si="2"/>
        <v>0</v>
      </c>
      <c r="H54" s="170" t="str">
        <f>VLOOKUP(A54,'Appendix B'!A:A,1,FALSE)</f>
        <v>C3041</v>
      </c>
      <c r="I54" s="209">
        <f t="shared" si="1"/>
        <v>0</v>
      </c>
    </row>
    <row r="55" spans="1:9" ht="15">
      <c r="A55" s="170" t="s">
        <v>147</v>
      </c>
      <c r="B55" s="170" t="s">
        <v>353</v>
      </c>
      <c r="C55" s="209">
        <v>115670</v>
      </c>
      <c r="D55" s="209">
        <v>115670</v>
      </c>
      <c r="E55" s="209">
        <f>VLOOKUP(A55,'Appendix B'!A:F,6,FALSE)</f>
        <v>115670</v>
      </c>
      <c r="F55" s="209">
        <f>IF(ISNA(VLOOKUP(A55,Profiles!$A$2:$F$113,6,FALSE)),0,(VLOOKUP(A55,Profiles!$A$2:$F$113,6,FALSE)))</f>
        <v>0</v>
      </c>
      <c r="G55" s="171">
        <f t="shared" si="2"/>
        <v>0</v>
      </c>
      <c r="H55" s="170" t="str">
        <f>VLOOKUP(A55,'Appendix B'!A:A,1,FALSE)</f>
        <v>C3042</v>
      </c>
      <c r="I55" s="209">
        <f t="shared" si="1"/>
        <v>0</v>
      </c>
    </row>
    <row r="56" spans="1:9" ht="15">
      <c r="A56" s="170" t="s">
        <v>207</v>
      </c>
      <c r="B56" s="170" t="s">
        <v>354</v>
      </c>
      <c r="C56" s="209">
        <v>188574</v>
      </c>
      <c r="D56" s="209">
        <v>188574</v>
      </c>
      <c r="E56" s="209">
        <f>VLOOKUP(A56,'Appendix B'!A:F,6,FALSE)</f>
        <v>188574</v>
      </c>
      <c r="F56" s="209">
        <f>IF(ISNA(VLOOKUP(A56,Profiles!$A$2:$F$113,6,FALSE)),0,(VLOOKUP(A56,Profiles!$A$2:$F$113,6,FALSE)))</f>
        <v>0</v>
      </c>
      <c r="G56" s="171">
        <f t="shared" si="2"/>
        <v>176052.5</v>
      </c>
      <c r="H56" s="170" t="str">
        <f>VLOOKUP(A56,'Appendix B'!A:A,1,FALSE)</f>
        <v>C3044</v>
      </c>
      <c r="I56" s="209">
        <f t="shared" si="1"/>
        <v>0</v>
      </c>
    </row>
    <row r="57" spans="1:9" ht="15">
      <c r="A57" s="170" t="s">
        <v>355</v>
      </c>
      <c r="B57" s="170" t="s">
        <v>356</v>
      </c>
      <c r="C57" s="209">
        <v>98000</v>
      </c>
      <c r="D57" s="209">
        <v>98000</v>
      </c>
      <c r="E57" s="209">
        <f>VLOOKUP(A57,'Appendix B'!A:F,6,FALSE)</f>
        <v>98000</v>
      </c>
      <c r="F57" s="209">
        <f>IF(ISNA(VLOOKUP(A57,Profiles!$A$2:$F$113,6,FALSE)),0,(VLOOKUP(A57,Profiles!$A$2:$F$113,6,FALSE)))</f>
        <v>0</v>
      </c>
      <c r="G57" s="171">
        <f t="shared" si="2"/>
        <v>0</v>
      </c>
      <c r="H57" s="170" t="str">
        <f>VLOOKUP(A57,'Appendix B'!A:A,1,FALSE)</f>
        <v>C3045</v>
      </c>
      <c r="I57" s="209">
        <f t="shared" si="1"/>
        <v>0</v>
      </c>
    </row>
    <row r="58" spans="1:9" ht="15">
      <c r="A58" s="170" t="s">
        <v>357</v>
      </c>
      <c r="B58" s="170" t="s">
        <v>358</v>
      </c>
      <c r="C58" s="209">
        <v>25000</v>
      </c>
      <c r="D58" s="209">
        <v>25000</v>
      </c>
      <c r="E58" s="209">
        <f>VLOOKUP(A58,'Appendix B'!A:F,6,FALSE)</f>
        <v>25000</v>
      </c>
      <c r="F58" s="209">
        <f>IF(ISNA(VLOOKUP(A58,Profiles!$A$2:$F$113,6,FALSE)),0,(VLOOKUP(A58,Profiles!$A$2:$F$113,6,FALSE)))</f>
        <v>0</v>
      </c>
      <c r="G58" s="171">
        <f t="shared" si="2"/>
        <v>0</v>
      </c>
      <c r="H58" s="170" t="str">
        <f>VLOOKUP(A58,'Appendix B'!A:A,1,FALSE)</f>
        <v>C3046</v>
      </c>
      <c r="I58" s="209">
        <f t="shared" si="1"/>
        <v>0</v>
      </c>
    </row>
    <row r="59" spans="1:9" ht="15">
      <c r="A59" s="170" t="s">
        <v>359</v>
      </c>
      <c r="B59" s="170" t="s">
        <v>360</v>
      </c>
      <c r="C59" s="209">
        <v>25000</v>
      </c>
      <c r="D59" s="209">
        <v>25000</v>
      </c>
      <c r="E59" s="209">
        <f>VLOOKUP(A59,'Appendix B'!A:F,6,FALSE)</f>
        <v>25000</v>
      </c>
      <c r="F59" s="209">
        <f>IF(ISNA(VLOOKUP(A59,Profiles!$A$2:$F$113,6,FALSE)),0,(VLOOKUP(A59,Profiles!$A$2:$F$113,6,FALSE)))</f>
        <v>0</v>
      </c>
      <c r="G59" s="171">
        <f t="shared" si="2"/>
        <v>0</v>
      </c>
      <c r="H59" s="170" t="str">
        <f>VLOOKUP(A59,'Appendix B'!A:A,1,FALSE)</f>
        <v>C3047</v>
      </c>
      <c r="I59" s="209">
        <f t="shared" si="1"/>
        <v>0</v>
      </c>
    </row>
    <row r="60" spans="1:9" ht="15">
      <c r="A60" s="170" t="s">
        <v>361</v>
      </c>
      <c r="B60" s="170" t="s">
        <v>362</v>
      </c>
      <c r="C60" s="209">
        <v>25000</v>
      </c>
      <c r="D60" s="209">
        <v>25000</v>
      </c>
      <c r="E60" s="209">
        <f>VLOOKUP(A60,'Appendix B'!A:F,6,FALSE)</f>
        <v>25000</v>
      </c>
      <c r="F60" s="209">
        <f>IF(ISNA(VLOOKUP(A60,Profiles!$A$2:$F$113,6,FALSE)),0,(VLOOKUP(A60,Profiles!$A$2:$F$113,6,FALSE)))</f>
        <v>0</v>
      </c>
      <c r="G60" s="171">
        <f t="shared" si="2"/>
        <v>0</v>
      </c>
      <c r="H60" s="170" t="str">
        <f>VLOOKUP(A60,'Appendix B'!A:A,1,FALSE)</f>
        <v>C3048</v>
      </c>
      <c r="I60" s="209">
        <f t="shared" si="1"/>
        <v>0</v>
      </c>
    </row>
    <row r="61" spans="1:9" ht="15">
      <c r="A61" s="170" t="s">
        <v>363</v>
      </c>
      <c r="B61" s="170" t="s">
        <v>364</v>
      </c>
      <c r="C61" s="209">
        <v>15000</v>
      </c>
      <c r="D61" s="209">
        <v>15000</v>
      </c>
      <c r="E61" s="209">
        <f>VLOOKUP(A61,'Appendix B'!A:F,6,FALSE)</f>
        <v>15000</v>
      </c>
      <c r="F61" s="209">
        <f>IF(ISNA(VLOOKUP(A61,Profiles!$A$2:$F$113,6,FALSE)),0,(VLOOKUP(A61,Profiles!$A$2:$F$113,6,FALSE)))</f>
        <v>0</v>
      </c>
      <c r="G61" s="171">
        <f t="shared" si="2"/>
        <v>0</v>
      </c>
      <c r="H61" s="170" t="str">
        <f>VLOOKUP(A61,'Appendix B'!A:A,1,FALSE)</f>
        <v>C3049</v>
      </c>
      <c r="I61" s="209">
        <f t="shared" si="1"/>
        <v>0</v>
      </c>
    </row>
    <row r="62" spans="1:9" ht="15">
      <c r="A62" s="170" t="s">
        <v>365</v>
      </c>
      <c r="B62" s="170" t="s">
        <v>366</v>
      </c>
      <c r="C62" s="209">
        <v>15000</v>
      </c>
      <c r="D62" s="209">
        <v>15000</v>
      </c>
      <c r="E62" s="209">
        <f>VLOOKUP(A62,'Appendix B'!A:F,6,FALSE)</f>
        <v>15000</v>
      </c>
      <c r="F62" s="209">
        <f>IF(ISNA(VLOOKUP(A62,Profiles!$A$2:$F$113,6,FALSE)),0,(VLOOKUP(A62,Profiles!$A$2:$F$113,6,FALSE)))</f>
        <v>0</v>
      </c>
      <c r="G62" s="171">
        <f t="shared" si="2"/>
        <v>0</v>
      </c>
      <c r="H62" s="170" t="str">
        <f>VLOOKUP(A62,'Appendix B'!A:A,1,FALSE)</f>
        <v>C3050</v>
      </c>
      <c r="I62" s="209">
        <f t="shared" si="1"/>
        <v>0</v>
      </c>
    </row>
    <row r="63" spans="1:9" ht="15">
      <c r="A63" s="170" t="s">
        <v>21</v>
      </c>
      <c r="B63" s="170" t="s">
        <v>367</v>
      </c>
      <c r="C63" s="209">
        <v>47020</v>
      </c>
      <c r="D63" s="209">
        <v>47020</v>
      </c>
      <c r="E63" s="209">
        <f>VLOOKUP(A63,'Appendix B'!A:F,6,FALSE)</f>
        <v>47020</v>
      </c>
      <c r="F63" s="209">
        <f>IF(ISNA(VLOOKUP(A63,Profiles!$A$2:$F$113,6,FALSE)),0,(VLOOKUP(A63,Profiles!$A$2:$F$113,6,FALSE)))</f>
        <v>10435</v>
      </c>
      <c r="G63" s="171">
        <f t="shared" si="2"/>
        <v>-11897.02</v>
      </c>
      <c r="H63" s="170" t="str">
        <f>VLOOKUP(A63,'Appendix B'!A:A,1,FALSE)</f>
        <v>E3511</v>
      </c>
      <c r="I63" s="209">
        <f t="shared" si="1"/>
        <v>0</v>
      </c>
    </row>
    <row r="64" spans="1:9" ht="15">
      <c r="A64" s="170" t="s">
        <v>23</v>
      </c>
      <c r="B64" s="170" t="s">
        <v>368</v>
      </c>
      <c r="C64" s="209">
        <v>816590</v>
      </c>
      <c r="D64" s="209">
        <v>816590</v>
      </c>
      <c r="E64" s="209">
        <f>VLOOKUP(A64,'Appendix B'!A:F,6,FALSE)</f>
        <v>816590</v>
      </c>
      <c r="F64" s="209">
        <f>IF(ISNA(VLOOKUP(A64,Profiles!$A$2:$F$113,6,FALSE)),0,(VLOOKUP(A64,Profiles!$A$2:$F$113,6,FALSE)))</f>
        <v>225308</v>
      </c>
      <c r="G64" s="171">
        <f t="shared" si="2"/>
        <v>78600.94</v>
      </c>
      <c r="H64" s="170" t="str">
        <f>VLOOKUP(A64,'Appendix B'!A:A,1,FALSE)</f>
        <v>E3521</v>
      </c>
      <c r="I64" s="209">
        <f t="shared" si="1"/>
        <v>0</v>
      </c>
    </row>
    <row r="65" spans="1:10" ht="15">
      <c r="A65" s="170" t="s">
        <v>25</v>
      </c>
      <c r="B65" s="170" t="s">
        <v>369</v>
      </c>
      <c r="C65" s="209">
        <v>300000</v>
      </c>
      <c r="D65" s="209">
        <v>300000</v>
      </c>
      <c r="E65" s="209">
        <f>VLOOKUP(A65,'Appendix B'!A:F,6,FALSE)</f>
        <v>0</v>
      </c>
      <c r="F65" s="209">
        <f>IF(ISNA(VLOOKUP(A65,Profiles!$A$2:$F$113,6,FALSE)),0,(VLOOKUP(A65,Profiles!$A$2:$F$113,6,FALSE)))</f>
        <v>0</v>
      </c>
      <c r="G65" s="171">
        <f aca="true" t="shared" si="3" ref="G65:G71">IF(ISNA(VLOOKUP($A65,$A$125:$D$237,4,FALSE)),0,(VLOOKUP($A65,$A$125:$D$237,4,FALSE)))</f>
        <v>0</v>
      </c>
      <c r="H65" s="170" t="str">
        <f>VLOOKUP(A65,'Appendix B'!A:A,1,FALSE)</f>
        <v>E3553</v>
      </c>
      <c r="I65" s="209">
        <f t="shared" si="1"/>
        <v>-300000</v>
      </c>
      <c r="J65" s="209">
        <v>0</v>
      </c>
    </row>
    <row r="66" spans="1:9" ht="15">
      <c r="A66" s="170" t="s">
        <v>179</v>
      </c>
      <c r="B66" s="170" t="s">
        <v>370</v>
      </c>
      <c r="C66" s="209">
        <v>84000</v>
      </c>
      <c r="D66" s="209">
        <v>84000</v>
      </c>
      <c r="E66" s="209">
        <f>VLOOKUP(A66,'Appendix B'!A:F,6,FALSE)</f>
        <v>84000</v>
      </c>
      <c r="F66" s="209">
        <f>IF(ISNA(VLOOKUP(A66,Profiles!$A$2:$F$113,6,FALSE)),0,(VLOOKUP(A66,Profiles!$A$2:$F$113,6,FALSE)))</f>
        <v>8400</v>
      </c>
      <c r="G66" s="171">
        <f t="shared" si="3"/>
        <v>0</v>
      </c>
      <c r="H66" s="170" t="str">
        <f>VLOOKUP(A66,'Appendix B'!A:A,1,FALSE)</f>
        <v>F0011</v>
      </c>
      <c r="I66" s="209">
        <f t="shared" si="1"/>
        <v>0</v>
      </c>
    </row>
    <row r="67" spans="1:9" ht="15">
      <c r="A67" s="170" t="s">
        <v>181</v>
      </c>
      <c r="B67" s="170" t="s">
        <v>371</v>
      </c>
      <c r="C67" s="209">
        <v>164309</v>
      </c>
      <c r="D67" s="209">
        <v>164309</v>
      </c>
      <c r="E67" s="209">
        <f>VLOOKUP(A67,'Appendix B'!A:F,6,FALSE)</f>
        <v>164309</v>
      </c>
      <c r="F67" s="209">
        <f>IF(ISNA(VLOOKUP(A67,Profiles!$A$2:$F$113,6,FALSE)),0,(VLOOKUP(A67,Profiles!$A$2:$F$113,6,FALSE)))</f>
        <v>0</v>
      </c>
      <c r="G67" s="171">
        <f t="shared" si="3"/>
        <v>0</v>
      </c>
      <c r="H67" s="170" t="str">
        <f>VLOOKUP(A67,'Appendix B'!A:A,1,FALSE)</f>
        <v>F0012</v>
      </c>
      <c r="I67" s="209">
        <f aca="true" t="shared" si="4" ref="I67:I117">E67-C67</f>
        <v>0</v>
      </c>
    </row>
    <row r="68" spans="1:9" ht="15">
      <c r="A68" s="170" t="s">
        <v>183</v>
      </c>
      <c r="B68" s="170" t="s">
        <v>372</v>
      </c>
      <c r="C68" s="209">
        <v>1857</v>
      </c>
      <c r="D68" s="209">
        <v>1857</v>
      </c>
      <c r="E68" s="209">
        <f>VLOOKUP(A68,'Appendix B'!A:F,6,FALSE)</f>
        <v>1857</v>
      </c>
      <c r="F68" s="209">
        <f>IF(ISNA(VLOOKUP(A68,Profiles!$A$2:$F$113,6,FALSE)),0,(VLOOKUP(A68,Profiles!$A$2:$F$113,6,FALSE)))</f>
        <v>0</v>
      </c>
      <c r="G68" s="171">
        <f t="shared" si="3"/>
        <v>0</v>
      </c>
      <c r="H68" s="170" t="str">
        <f>VLOOKUP(A68,'Appendix B'!A:A,1,FALSE)</f>
        <v>F0014</v>
      </c>
      <c r="I68" s="209">
        <f t="shared" si="4"/>
        <v>0</v>
      </c>
    </row>
    <row r="69" spans="1:9" ht="15">
      <c r="A69" s="170" t="s">
        <v>176</v>
      </c>
      <c r="B69" s="170" t="s">
        <v>373</v>
      </c>
      <c r="C69" s="209">
        <v>194503</v>
      </c>
      <c r="D69" s="209">
        <v>194503</v>
      </c>
      <c r="E69" s="209">
        <f>VLOOKUP(A69,'Appendix B'!A:F,6,FALSE)</f>
        <v>194503</v>
      </c>
      <c r="F69" s="209">
        <f>IF(ISNA(VLOOKUP(A69,Profiles!$A$2:$F$113,6,FALSE)),0,(VLOOKUP(A69,Profiles!$A$2:$F$113,6,FALSE)))</f>
        <v>8000</v>
      </c>
      <c r="G69" s="171">
        <f t="shared" si="3"/>
        <v>7182</v>
      </c>
      <c r="H69" s="170" t="str">
        <f>VLOOKUP(A69,'Appendix B'!A:A,1,FALSE)</f>
        <v>F0015</v>
      </c>
      <c r="I69" s="209">
        <f t="shared" si="4"/>
        <v>0</v>
      </c>
    </row>
    <row r="70" spans="1:9" ht="15">
      <c r="A70" s="170" t="s">
        <v>6</v>
      </c>
      <c r="B70" s="170" t="s">
        <v>374</v>
      </c>
      <c r="C70" s="209">
        <v>238016</v>
      </c>
      <c r="D70" s="209">
        <v>238016</v>
      </c>
      <c r="E70" s="209">
        <f>VLOOKUP(A70,'Appendix B'!A:F,6,FALSE)</f>
        <v>238016</v>
      </c>
      <c r="F70" s="209">
        <f>IF(ISNA(VLOOKUP(A70,Profiles!$A$2:$F$113,6,FALSE)),0,(VLOOKUP(A70,Profiles!$A$2:$F$113,6,FALSE)))</f>
        <v>10000</v>
      </c>
      <c r="G70" s="171">
        <f t="shared" si="3"/>
        <v>10190</v>
      </c>
      <c r="H70" s="170" t="str">
        <f>VLOOKUP(A70,'Appendix B'!A:A,1,FALSE)</f>
        <v>F1323</v>
      </c>
      <c r="I70" s="209">
        <f t="shared" si="4"/>
        <v>0</v>
      </c>
    </row>
    <row r="71" spans="1:9" ht="15">
      <c r="A71" s="170" t="s">
        <v>8</v>
      </c>
      <c r="B71" s="170" t="s">
        <v>696</v>
      </c>
      <c r="C71" s="209">
        <v>1537</v>
      </c>
      <c r="D71" s="209">
        <v>1537</v>
      </c>
      <c r="E71" s="209">
        <f>VLOOKUP(A71,'Appendix B'!A:F,6,FALSE)</f>
        <v>1537</v>
      </c>
      <c r="F71" s="209">
        <f>IF(ISNA(VLOOKUP(A71,Profiles!$A$2:$F$113,6,FALSE)),0,(VLOOKUP(A71,Profiles!$A$2:$F$113,6,FALSE)))</f>
        <v>0</v>
      </c>
      <c r="G71" s="171">
        <f t="shared" si="3"/>
        <v>0</v>
      </c>
      <c r="H71" s="170" t="str">
        <f>VLOOKUP(A71,'Appendix B'!A:A,1,FALSE)</f>
        <v>F6013</v>
      </c>
      <c r="I71" s="209">
        <f t="shared" si="4"/>
        <v>0</v>
      </c>
    </row>
    <row r="72" spans="1:9" ht="15">
      <c r="A72" s="170" t="s">
        <v>375</v>
      </c>
      <c r="B72" s="170" t="s">
        <v>376</v>
      </c>
      <c r="C72" s="209">
        <v>1560</v>
      </c>
      <c r="D72" s="209">
        <v>1560</v>
      </c>
      <c r="E72" s="209">
        <f>VLOOKUP(A72,'Appendix B'!A:F,6,FALSE)</f>
        <v>1560</v>
      </c>
      <c r="F72" s="209">
        <f>IF(ISNA(VLOOKUP(A72,Profiles!$A$2:$F$113,6,FALSE)),0,(VLOOKUP(A72,Profiles!$A$2:$F$113,6,FALSE)))</f>
        <v>0</v>
      </c>
      <c r="G72" s="171">
        <f>IF(ISNA(VLOOKUP($A72,$A$125:$D$237,4,FALSE)),0,(VLOOKUP($A72,$A$125:$D$237,4,FALSE)))</f>
        <v>0</v>
      </c>
      <c r="H72" s="170" t="str">
        <f>VLOOKUP(A72,'Appendix B'!A:A,1,FALSE)</f>
        <v>F7006</v>
      </c>
      <c r="I72" s="209">
        <f t="shared" si="4"/>
        <v>0</v>
      </c>
    </row>
    <row r="73" spans="1:9" ht="15">
      <c r="A73" s="170" t="s">
        <v>377</v>
      </c>
      <c r="B73" s="170" t="s">
        <v>378</v>
      </c>
      <c r="C73" s="209">
        <v>19887</v>
      </c>
      <c r="D73" s="209">
        <v>19887</v>
      </c>
      <c r="E73" s="209">
        <f>VLOOKUP(A73,'Appendix B'!A:F,6,FALSE)</f>
        <v>19887</v>
      </c>
      <c r="F73" s="209">
        <f>IF(ISNA(VLOOKUP(A73,Profiles!$A$2:$F$113,6,FALSE)),0,(VLOOKUP(A73,Profiles!$A$2:$F$113,6,FALSE)))</f>
        <v>0</v>
      </c>
      <c r="G73" s="171">
        <f aca="true" t="shared" si="5" ref="G73:G118">IF(ISNA(VLOOKUP($A73,$A$125:$D$237,4,FALSE)),0,(VLOOKUP($A73,$A$125:$D$237,4,FALSE)))</f>
        <v>0</v>
      </c>
      <c r="H73" s="170" t="str">
        <f>VLOOKUP(A73,'Appendix B'!A:A,1,FALSE)</f>
        <v>F7007</v>
      </c>
      <c r="I73" s="209">
        <f t="shared" si="4"/>
        <v>0</v>
      </c>
    </row>
    <row r="74" spans="1:9" ht="15">
      <c r="A74" s="170" t="s">
        <v>12</v>
      </c>
      <c r="B74" s="170" t="s">
        <v>697</v>
      </c>
      <c r="C74" s="209">
        <v>14460</v>
      </c>
      <c r="D74" s="209">
        <v>14460.45</v>
      </c>
      <c r="E74" s="209">
        <f>VLOOKUP(A74,'Appendix B'!A:F,6,FALSE)</f>
        <v>14460</v>
      </c>
      <c r="F74" s="209">
        <f>IF(ISNA(VLOOKUP(A74,Profiles!$A$2:$F$113,6,FALSE)),0,(VLOOKUP(A74,Profiles!$A$2:$F$113,6,FALSE)))</f>
        <v>0</v>
      </c>
      <c r="G74" s="171">
        <f t="shared" si="5"/>
        <v>0</v>
      </c>
      <c r="H74" s="170" t="str">
        <f>VLOOKUP(A74,'Appendix B'!A:A,1,FALSE)</f>
        <v>F7008</v>
      </c>
      <c r="I74" s="209">
        <f t="shared" si="4"/>
        <v>0</v>
      </c>
    </row>
    <row r="75" spans="1:9" ht="15">
      <c r="A75" s="170" t="s">
        <v>379</v>
      </c>
      <c r="B75" s="170" t="s">
        <v>380</v>
      </c>
      <c r="C75" s="209">
        <v>60000</v>
      </c>
      <c r="D75" s="209">
        <v>60000</v>
      </c>
      <c r="E75" s="209">
        <f>VLOOKUP(A75,'Appendix B'!A:F,6,FALSE)</f>
        <v>60000</v>
      </c>
      <c r="F75" s="209">
        <f>IF(ISNA(VLOOKUP(A75,Profiles!$A$2:$F$113,6,FALSE)),0,(VLOOKUP(A75,Profiles!$A$2:$F$113,6,FALSE)))</f>
        <v>0</v>
      </c>
      <c r="G75" s="171">
        <f t="shared" si="5"/>
        <v>0</v>
      </c>
      <c r="H75" s="170" t="str">
        <f>VLOOKUP(A75,'Appendix B'!A:A,1,FALSE)</f>
        <v>F7009</v>
      </c>
      <c r="I75" s="209">
        <f t="shared" si="4"/>
        <v>0</v>
      </c>
    </row>
    <row r="76" spans="1:9" ht="15">
      <c r="A76" s="170" t="s">
        <v>381</v>
      </c>
      <c r="B76" s="170" t="s">
        <v>382</v>
      </c>
      <c r="C76" s="209">
        <v>50000</v>
      </c>
      <c r="D76" s="209">
        <v>50000</v>
      </c>
      <c r="E76" s="209">
        <f>VLOOKUP(A76,'Appendix B'!A:F,6,FALSE)</f>
        <v>50000</v>
      </c>
      <c r="F76" s="209">
        <f>IF(ISNA(VLOOKUP(A76,Profiles!$A$2:$F$113,6,FALSE)),0,(VLOOKUP(A76,Profiles!$A$2:$F$113,6,FALSE)))</f>
        <v>0</v>
      </c>
      <c r="G76" s="171">
        <f t="shared" si="5"/>
        <v>0</v>
      </c>
      <c r="H76" s="170" t="str">
        <f>VLOOKUP(A76,'Appendix B'!A:A,1,FALSE)</f>
        <v>F7010</v>
      </c>
      <c r="I76" s="209">
        <f t="shared" si="4"/>
        <v>0</v>
      </c>
    </row>
    <row r="77" spans="1:9" ht="15">
      <c r="A77" s="170" t="s">
        <v>383</v>
      </c>
      <c r="B77" s="170" t="s">
        <v>384</v>
      </c>
      <c r="C77" s="209">
        <v>60000</v>
      </c>
      <c r="D77" s="209">
        <v>60000</v>
      </c>
      <c r="E77" s="209">
        <f>VLOOKUP(A77,'Appendix B'!A:F,6,FALSE)</f>
        <v>60000</v>
      </c>
      <c r="F77" s="209">
        <f>IF(ISNA(VLOOKUP(A77,Profiles!$A$2:$F$113,6,FALSE)),0,(VLOOKUP(A77,Profiles!$A$2:$F$113,6,FALSE)))</f>
        <v>0</v>
      </c>
      <c r="G77" s="171">
        <f t="shared" si="5"/>
        <v>0</v>
      </c>
      <c r="H77" s="170" t="str">
        <f>VLOOKUP(A77,'Appendix B'!A:A,1,FALSE)</f>
        <v>F7011</v>
      </c>
      <c r="I77" s="209">
        <f t="shared" si="4"/>
        <v>0</v>
      </c>
    </row>
    <row r="78" spans="1:10" ht="15">
      <c r="A78" s="170" t="s">
        <v>385</v>
      </c>
      <c r="B78" s="170" t="s">
        <v>386</v>
      </c>
      <c r="C78" s="209">
        <v>3300</v>
      </c>
      <c r="D78" s="209">
        <v>3300</v>
      </c>
      <c r="E78" s="209">
        <f>VLOOKUP(A78,'Appendix B'!A:F,6,FALSE)</f>
        <v>0</v>
      </c>
      <c r="F78" s="209">
        <f>IF(ISNA(VLOOKUP(A78,Profiles!$A$2:$F$113,6,FALSE)),0,(VLOOKUP(A78,Profiles!$A$2:$F$113,6,FALSE)))</f>
        <v>0</v>
      </c>
      <c r="G78" s="171">
        <f t="shared" si="5"/>
        <v>0</v>
      </c>
      <c r="H78" s="170" t="str">
        <f>VLOOKUP(A78,'Appendix B'!A:A,1,FALSE)</f>
        <v>F7012</v>
      </c>
      <c r="I78" s="209">
        <f t="shared" si="4"/>
        <v>-3300</v>
      </c>
      <c r="J78" s="209">
        <v>3300</v>
      </c>
    </row>
    <row r="79" spans="1:9" ht="15">
      <c r="A79" s="170" t="s">
        <v>387</v>
      </c>
      <c r="B79" s="170" t="s">
        <v>388</v>
      </c>
      <c r="C79" s="209">
        <v>14635</v>
      </c>
      <c r="D79" s="209">
        <v>14635</v>
      </c>
      <c r="E79" s="209">
        <f>VLOOKUP(A79,'Appendix B'!A:F,6,FALSE)</f>
        <v>14635</v>
      </c>
      <c r="F79" s="209">
        <f>IF(ISNA(VLOOKUP(A79,Profiles!$A$2:$F$113,6,FALSE)),0,(VLOOKUP(A79,Profiles!$A$2:$F$113,6,FALSE)))</f>
        <v>0</v>
      </c>
      <c r="G79" s="171">
        <f t="shared" si="5"/>
        <v>0</v>
      </c>
      <c r="H79" s="170" t="str">
        <f>VLOOKUP(A79,'Appendix B'!A:A,1,FALSE)</f>
        <v>F7020</v>
      </c>
      <c r="I79" s="209">
        <f t="shared" si="4"/>
        <v>0</v>
      </c>
    </row>
    <row r="80" spans="1:9" ht="15">
      <c r="A80" s="170" t="s">
        <v>29</v>
      </c>
      <c r="B80" s="170" t="s">
        <v>389</v>
      </c>
      <c r="C80" s="209">
        <v>19000</v>
      </c>
      <c r="D80" s="209">
        <v>19000</v>
      </c>
      <c r="E80" s="209">
        <f>VLOOKUP(A80,'Appendix B'!A:F,6,FALSE)</f>
        <v>19000</v>
      </c>
      <c r="F80" s="209">
        <f>IF(ISNA(VLOOKUP(A80,Profiles!$A$2:$F$113,6,FALSE)),0,(VLOOKUP(A80,Profiles!$A$2:$F$113,6,FALSE)))</f>
        <v>0</v>
      </c>
      <c r="G80" s="171">
        <f t="shared" si="5"/>
        <v>0</v>
      </c>
      <c r="H80" s="170" t="str">
        <f>VLOOKUP(A80,'Appendix B'!A:A,1,FALSE)</f>
        <v>G1013</v>
      </c>
      <c r="I80" s="209">
        <f t="shared" si="4"/>
        <v>0</v>
      </c>
    </row>
    <row r="81" spans="1:9" ht="15">
      <c r="A81" s="170" t="s">
        <v>31</v>
      </c>
      <c r="B81" s="170" t="s">
        <v>390</v>
      </c>
      <c r="C81" s="209">
        <v>6324</v>
      </c>
      <c r="D81" s="209">
        <v>6324</v>
      </c>
      <c r="E81" s="209">
        <f>VLOOKUP(A81,'Appendix B'!A:F,6,FALSE)</f>
        <v>6324</v>
      </c>
      <c r="F81" s="209">
        <f>IF(ISNA(VLOOKUP(A81,Profiles!$A$2:$F$113,6,FALSE)),0,(VLOOKUP(A81,Profiles!$A$2:$F$113,6,FALSE)))</f>
        <v>0</v>
      </c>
      <c r="G81" s="171">
        <f t="shared" si="5"/>
        <v>0</v>
      </c>
      <c r="H81" s="170" t="str">
        <f>VLOOKUP(A81,'Appendix B'!A:A,1,FALSE)</f>
        <v>G3013</v>
      </c>
      <c r="I81" s="209">
        <f t="shared" si="4"/>
        <v>0</v>
      </c>
    </row>
    <row r="82" spans="1:9" ht="15">
      <c r="A82" s="170" t="s">
        <v>33</v>
      </c>
      <c r="B82" s="170" t="s">
        <v>391</v>
      </c>
      <c r="C82" s="209">
        <v>2550</v>
      </c>
      <c r="D82" s="209">
        <v>2550</v>
      </c>
      <c r="E82" s="209">
        <f>VLOOKUP(A82,'Appendix B'!A:F,6,FALSE)</f>
        <v>2550</v>
      </c>
      <c r="F82" s="209">
        <f>IF(ISNA(VLOOKUP(A82,Profiles!$A$2:$F$113,6,FALSE)),0,(VLOOKUP(A82,Profiles!$A$2:$F$113,6,FALSE)))</f>
        <v>0</v>
      </c>
      <c r="G82" s="171">
        <f t="shared" si="5"/>
        <v>0</v>
      </c>
      <c r="H82" s="170" t="str">
        <f>VLOOKUP(A82,'Appendix B'!A:A,1,FALSE)</f>
        <v>G3014</v>
      </c>
      <c r="I82" s="209">
        <f t="shared" si="4"/>
        <v>0</v>
      </c>
    </row>
    <row r="83" spans="1:9" ht="15">
      <c r="A83" s="170" t="s">
        <v>42</v>
      </c>
      <c r="B83" s="170" t="s">
        <v>698</v>
      </c>
      <c r="C83" s="209">
        <v>19300</v>
      </c>
      <c r="D83" s="209">
        <v>19300</v>
      </c>
      <c r="E83" s="209">
        <f>VLOOKUP(A83,'Appendix B'!A:F,6,FALSE)</f>
        <v>19300</v>
      </c>
      <c r="F83" s="209">
        <f>IF(ISNA(VLOOKUP(A83,Profiles!$A$2:$F$113,6,FALSE)),0,(VLOOKUP(A83,Profiles!$A$2:$F$113,6,FALSE)))</f>
        <v>0</v>
      </c>
      <c r="G83" s="171">
        <f t="shared" si="5"/>
        <v>0</v>
      </c>
      <c r="H83" s="170" t="str">
        <f>VLOOKUP(A83,'Appendix B'!A:A,1,FALSE)</f>
        <v>G3015</v>
      </c>
      <c r="I83" s="209">
        <f t="shared" si="4"/>
        <v>0</v>
      </c>
    </row>
    <row r="84" spans="1:9" ht="15">
      <c r="A84" s="170" t="s">
        <v>35</v>
      </c>
      <c r="B84" s="170" t="s">
        <v>392</v>
      </c>
      <c r="C84" s="209">
        <v>1411</v>
      </c>
      <c r="D84" s="209">
        <v>1411</v>
      </c>
      <c r="E84" s="209">
        <f>VLOOKUP(A84,'Appendix B'!A:F,6,FALSE)</f>
        <v>1411</v>
      </c>
      <c r="F84" s="209">
        <f>IF(ISNA(VLOOKUP(A84,Profiles!$A$2:$F$113,6,FALSE)),0,(VLOOKUP(A84,Profiles!$A$2:$F$113,6,FALSE)))</f>
        <v>0</v>
      </c>
      <c r="G84" s="171">
        <f t="shared" si="5"/>
        <v>0</v>
      </c>
      <c r="H84" s="170" t="str">
        <f>VLOOKUP(A84,'Appendix B'!A:A,1,FALSE)</f>
        <v>G4006</v>
      </c>
      <c r="I84" s="209">
        <f t="shared" si="4"/>
        <v>0</v>
      </c>
    </row>
    <row r="85" spans="1:9" ht="15">
      <c r="A85" s="170" t="s">
        <v>393</v>
      </c>
      <c r="B85" s="170" t="s">
        <v>394</v>
      </c>
      <c r="C85" s="209">
        <v>325000</v>
      </c>
      <c r="D85" s="209">
        <v>325000</v>
      </c>
      <c r="E85" s="209">
        <f>VLOOKUP(A85,'Appendix B'!A:F,6,FALSE)</f>
        <v>325000</v>
      </c>
      <c r="F85" s="209">
        <f>IF(ISNA(VLOOKUP(A85,Profiles!$A$2:$F$113,6,FALSE)),0,(VLOOKUP(A85,Profiles!$A$2:$F$113,6,FALSE)))</f>
        <v>0</v>
      </c>
      <c r="G85" s="171">
        <f t="shared" si="5"/>
        <v>0</v>
      </c>
      <c r="H85" s="170" t="str">
        <f>VLOOKUP(A85,'Appendix B'!A:A,1,FALSE)</f>
        <v>G6013</v>
      </c>
      <c r="I85" s="209">
        <f t="shared" si="4"/>
        <v>0</v>
      </c>
    </row>
    <row r="86" spans="1:9" ht="15">
      <c r="A86" s="170" t="s">
        <v>395</v>
      </c>
      <c r="B86" s="170" t="s">
        <v>396</v>
      </c>
      <c r="C86" s="209">
        <v>25000</v>
      </c>
      <c r="D86" s="209">
        <v>25000</v>
      </c>
      <c r="E86" s="209">
        <f>VLOOKUP(A86,'Appendix B'!A:F,6,FALSE)</f>
        <v>25000</v>
      </c>
      <c r="F86" s="209">
        <f>IF(ISNA(VLOOKUP(A86,Profiles!$A$2:$F$113,6,FALSE)),0,(VLOOKUP(A86,Profiles!$A$2:$F$113,6,FALSE)))</f>
        <v>0</v>
      </c>
      <c r="G86" s="171">
        <f t="shared" si="5"/>
        <v>0</v>
      </c>
      <c r="H86" s="170" t="str">
        <f>VLOOKUP(A86,'Appendix B'!A:A,1,FALSE)</f>
        <v>G6014</v>
      </c>
      <c r="I86" s="209">
        <f t="shared" si="4"/>
        <v>0</v>
      </c>
    </row>
    <row r="87" spans="1:9" ht="15">
      <c r="A87" s="170" t="s">
        <v>397</v>
      </c>
      <c r="B87" s="170" t="s">
        <v>398</v>
      </c>
      <c r="C87" s="209">
        <v>18000</v>
      </c>
      <c r="D87" s="209">
        <v>18000</v>
      </c>
      <c r="E87" s="209">
        <f>VLOOKUP(A87,'Appendix B'!A:F,6,FALSE)</f>
        <v>18000</v>
      </c>
      <c r="F87" s="209">
        <f>IF(ISNA(VLOOKUP(A87,Profiles!$A$2:$F$113,6,FALSE)),0,(VLOOKUP(A87,Profiles!$A$2:$F$113,6,FALSE)))</f>
        <v>0</v>
      </c>
      <c r="G87" s="171">
        <f t="shared" si="5"/>
        <v>0</v>
      </c>
      <c r="H87" s="170" t="str">
        <f>VLOOKUP(A87,'Appendix B'!A:A,1,FALSE)</f>
        <v>G6015</v>
      </c>
      <c r="I87" s="209">
        <f t="shared" si="4"/>
        <v>0</v>
      </c>
    </row>
    <row r="88" spans="1:9" ht="15">
      <c r="A88" s="170" t="s">
        <v>16</v>
      </c>
      <c r="B88" s="170" t="s">
        <v>399</v>
      </c>
      <c r="C88" s="209">
        <v>217225</v>
      </c>
      <c r="D88" s="209">
        <v>217225</v>
      </c>
      <c r="E88" s="209">
        <f>VLOOKUP(A88,'Appendix B'!A:F,6,FALSE)</f>
        <v>217225</v>
      </c>
      <c r="F88" s="209">
        <f>IF(ISNA(VLOOKUP(A88,Profiles!$A$2:$F$113,6,FALSE)),0,(VLOOKUP(A88,Profiles!$A$2:$F$113,6,FALSE)))</f>
        <v>0</v>
      </c>
      <c r="G88" s="171">
        <f t="shared" si="5"/>
        <v>0</v>
      </c>
      <c r="H88" s="170" t="str">
        <f>VLOOKUP(A88,'Appendix B'!A:A,1,FALSE)</f>
        <v>M5014</v>
      </c>
      <c r="I88" s="209">
        <f t="shared" si="4"/>
        <v>0</v>
      </c>
    </row>
    <row r="89" spans="1:9" ht="15">
      <c r="A89" s="170" t="s">
        <v>48</v>
      </c>
      <c r="B89" s="170" t="s">
        <v>400</v>
      </c>
      <c r="C89" s="209">
        <v>0</v>
      </c>
      <c r="D89" s="209">
        <v>0</v>
      </c>
      <c r="E89" s="209">
        <f>VLOOKUP(A89,'Appendix B'!A:F,6,FALSE)</f>
        <v>0</v>
      </c>
      <c r="F89" s="209">
        <f>IF(ISNA(VLOOKUP(A89,Profiles!$A$2:$F$113,6,FALSE)),0,(VLOOKUP(A89,Profiles!$A$2:$F$113,6,FALSE)))</f>
        <v>0</v>
      </c>
      <c r="G89" s="175"/>
      <c r="H89" s="170" t="str">
        <f>VLOOKUP(A89,'Appendix B'!A:A,1,FALSE)</f>
        <v>M5015</v>
      </c>
      <c r="I89" s="209">
        <f t="shared" si="4"/>
        <v>0</v>
      </c>
    </row>
    <row r="90" spans="1:9" ht="15">
      <c r="A90" s="170" t="s">
        <v>214</v>
      </c>
      <c r="B90" s="170" t="s">
        <v>401</v>
      </c>
      <c r="C90" s="209">
        <v>500000</v>
      </c>
      <c r="D90" s="209">
        <v>500000</v>
      </c>
      <c r="E90" s="209">
        <f>VLOOKUP(A90,'Appendix B'!A:F,6,FALSE)</f>
        <v>500000</v>
      </c>
      <c r="F90" s="209">
        <f>IF(ISNA(VLOOKUP(A90,Profiles!$A$2:$F$113,6,FALSE)),0,(VLOOKUP(A90,Profiles!$A$2:$F$113,6,FALSE)))</f>
        <v>0</v>
      </c>
      <c r="G90" s="171">
        <f t="shared" si="5"/>
        <v>2936.22</v>
      </c>
      <c r="H90" s="170" t="str">
        <f>VLOOKUP(A90,'Appendix B'!A:A,1,FALSE)</f>
        <v>N6384</v>
      </c>
      <c r="I90" s="209">
        <f t="shared" si="4"/>
        <v>0</v>
      </c>
    </row>
    <row r="91" spans="1:9" ht="15">
      <c r="A91" s="170" t="s">
        <v>256</v>
      </c>
      <c r="B91" s="170" t="s">
        <v>402</v>
      </c>
      <c r="C91" s="209">
        <v>900000</v>
      </c>
      <c r="D91" s="209">
        <v>900000</v>
      </c>
      <c r="E91" s="209">
        <f>VLOOKUP(A91,'Appendix B'!A:F,6,FALSE)</f>
        <v>900000</v>
      </c>
      <c r="F91" s="209">
        <f>IF(ISNA(VLOOKUP(A91,Profiles!$A$2:$F$113,6,FALSE)),0,(VLOOKUP(A91,Profiles!$A$2:$F$113,6,FALSE)))</f>
        <v>226080</v>
      </c>
      <c r="G91" s="171">
        <f t="shared" si="5"/>
        <v>149376.29</v>
      </c>
      <c r="H91" s="170" t="str">
        <f>VLOOKUP(A91,'Appendix B'!A:A,1,FALSE)</f>
        <v>N6385</v>
      </c>
      <c r="I91" s="209">
        <f t="shared" si="4"/>
        <v>0</v>
      </c>
    </row>
    <row r="92" spans="1:9" ht="15">
      <c r="A92" s="170" t="s">
        <v>232</v>
      </c>
      <c r="B92" s="170" t="s">
        <v>403</v>
      </c>
      <c r="C92" s="209">
        <v>125000</v>
      </c>
      <c r="D92" s="209">
        <v>125000</v>
      </c>
      <c r="E92" s="209">
        <f>VLOOKUP(A92,'Appendix B'!A:F,6,FALSE)</f>
        <v>125000</v>
      </c>
      <c r="F92" s="209">
        <f>IF(ISNA(VLOOKUP(A92,Profiles!$A$2:$F$113,6,FALSE)),0,(VLOOKUP(A92,Profiles!$A$2:$F$113,6,FALSE)))</f>
        <v>0</v>
      </c>
      <c r="G92" s="171">
        <f t="shared" si="5"/>
        <v>54205.94</v>
      </c>
      <c r="H92" s="170" t="str">
        <f>VLOOKUP(A92,'Appendix B'!A:A,1,FALSE)</f>
        <v>N6386</v>
      </c>
      <c r="I92" s="209">
        <f t="shared" si="4"/>
        <v>0</v>
      </c>
    </row>
    <row r="93" spans="1:9" ht="15">
      <c r="A93" s="170" t="s">
        <v>216</v>
      </c>
      <c r="B93" s="170" t="s">
        <v>404</v>
      </c>
      <c r="C93" s="209">
        <v>210000</v>
      </c>
      <c r="D93" s="209">
        <v>210000</v>
      </c>
      <c r="E93" s="209">
        <f>VLOOKUP(A93,'Appendix B'!A:F,6,FALSE)</f>
        <v>210000</v>
      </c>
      <c r="F93" s="209">
        <f>IF(ISNA(VLOOKUP(A93,Profiles!$A$2:$F$113,6,FALSE)),0,(VLOOKUP(A93,Profiles!$A$2:$F$113,6,FALSE)))</f>
        <v>0</v>
      </c>
      <c r="G93" s="171">
        <f t="shared" si="5"/>
        <v>35572.39</v>
      </c>
      <c r="H93" s="170" t="str">
        <f>VLOOKUP(A93,'Appendix B'!A:A,1,FALSE)</f>
        <v>N6387</v>
      </c>
      <c r="I93" s="209">
        <f t="shared" si="4"/>
        <v>0</v>
      </c>
    </row>
    <row r="94" spans="1:9" ht="15">
      <c r="A94" s="170" t="s">
        <v>262</v>
      </c>
      <c r="B94" s="170" t="s">
        <v>405</v>
      </c>
      <c r="C94" s="209">
        <v>820000</v>
      </c>
      <c r="D94" s="209">
        <v>820000</v>
      </c>
      <c r="E94" s="209">
        <f>VLOOKUP(A94,'Appendix B'!A:F,6,FALSE)</f>
        <v>820000</v>
      </c>
      <c r="F94" s="209">
        <f>IF(ISNA(VLOOKUP(A94,Profiles!$A$2:$F$113,6,FALSE)),0,(VLOOKUP(A94,Profiles!$A$2:$F$113,6,FALSE)))</f>
        <v>205984</v>
      </c>
      <c r="G94" s="171">
        <f t="shared" si="5"/>
        <v>160999.07</v>
      </c>
      <c r="H94" s="170" t="str">
        <f>VLOOKUP(A94,'Appendix B'!A:A,1,FALSE)</f>
        <v>N6388</v>
      </c>
      <c r="I94" s="209">
        <f t="shared" si="4"/>
        <v>0</v>
      </c>
    </row>
    <row r="95" spans="1:9" ht="15">
      <c r="A95" s="170" t="s">
        <v>228</v>
      </c>
      <c r="B95" s="170" t="s">
        <v>406</v>
      </c>
      <c r="C95" s="209">
        <v>90000</v>
      </c>
      <c r="D95" s="209">
        <v>90000</v>
      </c>
      <c r="E95" s="209">
        <f>VLOOKUP(A95,'Appendix B'!A:F,6,FALSE)</f>
        <v>90000</v>
      </c>
      <c r="F95" s="209">
        <f>IF(ISNA(VLOOKUP(A95,Profiles!$A$2:$F$113,6,FALSE)),0,(VLOOKUP(A95,Profiles!$A$2:$F$113,6,FALSE)))</f>
        <v>0</v>
      </c>
      <c r="G95" s="171">
        <f t="shared" si="5"/>
        <v>56128.01</v>
      </c>
      <c r="H95" s="170" t="str">
        <f>VLOOKUP(A95,'Appendix B'!A:A,1,FALSE)</f>
        <v>N6389</v>
      </c>
      <c r="I95" s="209">
        <f t="shared" si="4"/>
        <v>0</v>
      </c>
    </row>
    <row r="96" spans="1:9" ht="15">
      <c r="A96" s="170" t="s">
        <v>258</v>
      </c>
      <c r="B96" s="170" t="s">
        <v>407</v>
      </c>
      <c r="C96" s="209">
        <v>2073000</v>
      </c>
      <c r="D96" s="209">
        <v>2073000</v>
      </c>
      <c r="E96" s="209">
        <f>VLOOKUP(A96,'Appendix B'!A:F,6,FALSE)</f>
        <v>2073000</v>
      </c>
      <c r="F96" s="209">
        <f>IF(ISNA(VLOOKUP(A96,Profiles!$A$2:$F$113,6,FALSE)),0,(VLOOKUP(A96,Profiles!$A$2:$F$113,6,FALSE)))</f>
        <v>503117.1</v>
      </c>
      <c r="G96" s="171">
        <f t="shared" si="5"/>
        <v>556865.71</v>
      </c>
      <c r="H96" s="170" t="str">
        <f>VLOOKUP(A96,'Appendix B'!A:A,1,FALSE)</f>
        <v>N6390</v>
      </c>
      <c r="I96" s="209">
        <f t="shared" si="4"/>
        <v>0</v>
      </c>
    </row>
    <row r="97" spans="1:9" ht="15">
      <c r="A97" s="170" t="s">
        <v>260</v>
      </c>
      <c r="B97" s="170" t="s">
        <v>408</v>
      </c>
      <c r="C97" s="209">
        <v>1221000</v>
      </c>
      <c r="D97" s="209">
        <v>1221000</v>
      </c>
      <c r="E97" s="209">
        <f>VLOOKUP(A97,'Appendix B'!A:F,6,FALSE)</f>
        <v>1221000</v>
      </c>
      <c r="F97" s="209">
        <f>IF(ISNA(VLOOKUP(A97,Profiles!$A$2:$F$113,6,FALSE)),0,(VLOOKUP(A97,Profiles!$A$2:$F$113,6,FALSE)))</f>
        <v>282051</v>
      </c>
      <c r="G97" s="171">
        <f t="shared" si="5"/>
        <v>314453.54</v>
      </c>
      <c r="H97" s="170" t="str">
        <f>VLOOKUP(A97,'Appendix B'!A:A,1,FALSE)</f>
        <v>N6391</v>
      </c>
      <c r="I97" s="209">
        <f t="shared" si="4"/>
        <v>0</v>
      </c>
    </row>
    <row r="98" spans="1:9" ht="15">
      <c r="A98" s="170" t="s">
        <v>230</v>
      </c>
      <c r="B98" s="170" t="s">
        <v>409</v>
      </c>
      <c r="C98" s="209">
        <v>150000</v>
      </c>
      <c r="D98" s="209">
        <v>150000</v>
      </c>
      <c r="E98" s="209">
        <f>VLOOKUP(A98,'Appendix B'!A:F,6,FALSE)</f>
        <v>150000</v>
      </c>
      <c r="F98" s="209">
        <f>IF(ISNA(VLOOKUP(A98,Profiles!$A$2:$F$113,6,FALSE)),0,(VLOOKUP(A98,Profiles!$A$2:$F$113,6,FALSE)))</f>
        <v>0</v>
      </c>
      <c r="G98" s="171">
        <f t="shared" si="5"/>
        <v>50693.46</v>
      </c>
      <c r="H98" s="170" t="str">
        <f>VLOOKUP(A98,'Appendix B'!A:A,1,FALSE)</f>
        <v>N6392</v>
      </c>
      <c r="I98" s="209">
        <f t="shared" si="4"/>
        <v>0</v>
      </c>
    </row>
    <row r="99" spans="1:9" ht="15">
      <c r="A99" s="170" t="s">
        <v>218</v>
      </c>
      <c r="B99" s="170" t="s">
        <v>410</v>
      </c>
      <c r="C99" s="209">
        <v>200000</v>
      </c>
      <c r="D99" s="209">
        <v>200000</v>
      </c>
      <c r="E99" s="209">
        <f>VLOOKUP(A99,'Appendix B'!A:F,6,FALSE)</f>
        <v>200000</v>
      </c>
      <c r="F99" s="209">
        <f>IF(ISNA(VLOOKUP(A99,Profiles!$A$2:$F$113,6,FALSE)),0,(VLOOKUP(A99,Profiles!$A$2:$F$113,6,FALSE)))</f>
        <v>0</v>
      </c>
      <c r="G99" s="171">
        <f t="shared" si="5"/>
        <v>6632.66</v>
      </c>
      <c r="H99" s="170" t="str">
        <f>VLOOKUP(A99,'Appendix B'!A:A,1,FALSE)</f>
        <v>N6393</v>
      </c>
      <c r="I99" s="209">
        <f t="shared" si="4"/>
        <v>0</v>
      </c>
    </row>
    <row r="100" spans="1:9" ht="15">
      <c r="A100" s="170" t="s">
        <v>226</v>
      </c>
      <c r="B100" s="170" t="s">
        <v>411</v>
      </c>
      <c r="C100" s="209">
        <v>250000</v>
      </c>
      <c r="D100" s="209">
        <v>250000</v>
      </c>
      <c r="E100" s="209">
        <f>VLOOKUP(A100,'Appendix B'!A:F,6,FALSE)</f>
        <v>250000</v>
      </c>
      <c r="F100" s="209">
        <f>IF(ISNA(VLOOKUP(A100,Profiles!$A$2:$F$113,6,FALSE)),0,(VLOOKUP(A100,Profiles!$A$2:$F$113,6,FALSE)))</f>
        <v>0</v>
      </c>
      <c r="G100" s="171">
        <f t="shared" si="5"/>
        <v>3719.08</v>
      </c>
      <c r="H100" s="170" t="str">
        <f>VLOOKUP(A100,'Appendix B'!A:A,1,FALSE)</f>
        <v>N6394</v>
      </c>
      <c r="I100" s="209">
        <f t="shared" si="4"/>
        <v>0</v>
      </c>
    </row>
    <row r="101" spans="1:9" ht="15">
      <c r="A101" s="170" t="s">
        <v>264</v>
      </c>
      <c r="B101" s="170" t="s">
        <v>412</v>
      </c>
      <c r="C101" s="209">
        <v>785000</v>
      </c>
      <c r="D101" s="209">
        <v>785000</v>
      </c>
      <c r="E101" s="209">
        <f>VLOOKUP(A101,'Appendix B'!A:F,6,FALSE)</f>
        <v>785000</v>
      </c>
      <c r="F101" s="209">
        <f>IF(ISNA(VLOOKUP(A101,Profiles!$A$2:$F$113,6,FALSE)),0,(VLOOKUP(A101,Profiles!$A$2:$F$113,6,FALSE)))</f>
        <v>197192</v>
      </c>
      <c r="G101" s="171">
        <f t="shared" si="5"/>
        <v>75593.75</v>
      </c>
      <c r="H101" s="170" t="str">
        <f>VLOOKUP(A101,'Appendix B'!A:A,1,FALSE)</f>
        <v>N6395</v>
      </c>
      <c r="I101" s="209">
        <f t="shared" si="4"/>
        <v>0</v>
      </c>
    </row>
    <row r="102" spans="1:9" ht="15">
      <c r="A102" s="170" t="s">
        <v>236</v>
      </c>
      <c r="B102" s="170" t="s">
        <v>413</v>
      </c>
      <c r="C102" s="209">
        <v>0</v>
      </c>
      <c r="D102" s="209">
        <v>0</v>
      </c>
      <c r="E102" s="209">
        <f>VLOOKUP(A102,'Appendix B'!A:F,6,FALSE)</f>
        <v>0</v>
      </c>
      <c r="F102" s="209">
        <f>IF(ISNA(VLOOKUP(A102,Profiles!$A$2:$F$113,6,FALSE)),0,(VLOOKUP(A102,Profiles!$A$2:$F$113,6,FALSE)))</f>
        <v>0</v>
      </c>
      <c r="G102" s="175">
        <v>0</v>
      </c>
      <c r="H102" s="170" t="str">
        <f>VLOOKUP(A102,'Appendix B'!A:A,1,FALSE)</f>
        <v>N6427</v>
      </c>
      <c r="I102" s="209">
        <f t="shared" si="4"/>
        <v>0</v>
      </c>
    </row>
    <row r="103" spans="1:9" ht="15">
      <c r="A103" s="170" t="s">
        <v>224</v>
      </c>
      <c r="B103" s="170" t="s">
        <v>414</v>
      </c>
      <c r="C103" s="209">
        <v>19000</v>
      </c>
      <c r="D103" s="209">
        <v>19000</v>
      </c>
      <c r="E103" s="209">
        <f>VLOOKUP(A103,'Appendix B'!A:F,6,FALSE)</f>
        <v>19000</v>
      </c>
      <c r="F103" s="209">
        <f>IF(ISNA(VLOOKUP(A103,Profiles!$A$2:$F$113,6,FALSE)),0,(VLOOKUP(A103,Profiles!$A$2:$F$113,6,FALSE)))</f>
        <v>0</v>
      </c>
      <c r="G103" s="171">
        <f t="shared" si="5"/>
        <v>15.73</v>
      </c>
      <c r="H103" s="170" t="str">
        <f>VLOOKUP(A103,'Appendix B'!A:A,1,FALSE)</f>
        <v>N7018</v>
      </c>
      <c r="I103" s="209">
        <f t="shared" si="4"/>
        <v>0</v>
      </c>
    </row>
    <row r="104" spans="1:9" ht="15">
      <c r="A104" s="170" t="s">
        <v>220</v>
      </c>
      <c r="B104" s="170" t="s">
        <v>415</v>
      </c>
      <c r="C104" s="209">
        <v>250000</v>
      </c>
      <c r="D104" s="209">
        <v>250000</v>
      </c>
      <c r="E104" s="209">
        <f>VLOOKUP(A104,'Appendix B'!A:F,6,FALSE)</f>
        <v>250000</v>
      </c>
      <c r="F104" s="209">
        <f>IF(ISNA(VLOOKUP(A104,Profiles!$A$2:$F$113,6,FALSE)),0,(VLOOKUP(A104,Profiles!$A$2:$F$113,6,FALSE)))</f>
        <v>0</v>
      </c>
      <c r="G104" s="171">
        <f t="shared" si="5"/>
        <v>35898.59</v>
      </c>
      <c r="H104" s="170" t="str">
        <f>VLOOKUP(A104,'Appendix B'!A:A,1,FALSE)</f>
        <v>N7020</v>
      </c>
      <c r="I104" s="209">
        <f t="shared" si="4"/>
        <v>0</v>
      </c>
    </row>
    <row r="105" spans="1:9" ht="15">
      <c r="A105" s="170" t="s">
        <v>242</v>
      </c>
      <c r="B105" s="170" t="s">
        <v>416</v>
      </c>
      <c r="C105" s="209">
        <v>150000</v>
      </c>
      <c r="D105" s="209">
        <v>150000</v>
      </c>
      <c r="E105" s="209">
        <f>VLOOKUP(A105,'Appendix B'!A:F,6,FALSE)</f>
        <v>150000</v>
      </c>
      <c r="F105" s="209">
        <f>IF(ISNA(VLOOKUP(A105,Profiles!$A$2:$F$113,6,FALSE)),0,(VLOOKUP(A105,Profiles!$A$2:$F$113,6,FALSE)))</f>
        <v>0</v>
      </c>
      <c r="G105" s="171">
        <f t="shared" si="5"/>
        <v>0</v>
      </c>
      <c r="H105" s="170" t="str">
        <f>VLOOKUP(A105,'Appendix B'!A:A,1,FALSE)</f>
        <v>N7026</v>
      </c>
      <c r="I105" s="209">
        <f t="shared" si="4"/>
        <v>0</v>
      </c>
    </row>
    <row r="106" spans="1:9" ht="15">
      <c r="A106" s="170" t="s">
        <v>244</v>
      </c>
      <c r="B106" s="170" t="s">
        <v>417</v>
      </c>
      <c r="C106" s="209">
        <v>100000</v>
      </c>
      <c r="D106" s="209">
        <v>100000</v>
      </c>
      <c r="E106" s="209">
        <f>VLOOKUP(A106,'Appendix B'!A:F,6,FALSE)</f>
        <v>100000</v>
      </c>
      <c r="F106" s="209">
        <f>IF(ISNA(VLOOKUP(A106,Profiles!$A$2:$F$113,6,FALSE)),0,(VLOOKUP(A106,Profiles!$A$2:$F$113,6,FALSE)))</f>
        <v>0</v>
      </c>
      <c r="G106" s="171">
        <f t="shared" si="5"/>
        <v>0</v>
      </c>
      <c r="H106" s="170" t="str">
        <f>VLOOKUP(A106,'Appendix B'!A:A,1,FALSE)</f>
        <v>N7027</v>
      </c>
      <c r="I106" s="209">
        <f t="shared" si="4"/>
        <v>0</v>
      </c>
    </row>
    <row r="107" spans="1:9" ht="15">
      <c r="A107" s="170" t="s">
        <v>240</v>
      </c>
      <c r="B107" s="170" t="s">
        <v>418</v>
      </c>
      <c r="C107" s="209">
        <v>117000</v>
      </c>
      <c r="D107" s="209">
        <v>117000</v>
      </c>
      <c r="E107" s="209">
        <f>VLOOKUP(A107,'Appendix B'!A:F,6,FALSE)</f>
        <v>117000</v>
      </c>
      <c r="F107" s="209">
        <f>IF(ISNA(VLOOKUP(A107,Profiles!$A$2:$F$113,6,FALSE)),0,(VLOOKUP(A107,Profiles!$A$2:$F$113,6,FALSE)))</f>
        <v>0</v>
      </c>
      <c r="G107" s="171">
        <f t="shared" si="5"/>
        <v>0</v>
      </c>
      <c r="H107" s="170" t="str">
        <f>VLOOKUP(A107,'Appendix B'!A:A,1,FALSE)</f>
        <v>N7028</v>
      </c>
      <c r="I107" s="209">
        <f t="shared" si="4"/>
        <v>0</v>
      </c>
    </row>
    <row r="108" spans="1:9" ht="15">
      <c r="A108" s="170" t="s">
        <v>252</v>
      </c>
      <c r="B108" s="170" t="s">
        <v>419</v>
      </c>
      <c r="C108" s="209">
        <v>7744000</v>
      </c>
      <c r="D108" s="209">
        <v>7744000</v>
      </c>
      <c r="E108" s="209">
        <f>VLOOKUP(A108,'Appendix B'!A:F,6,FALSE)</f>
        <v>7744000</v>
      </c>
      <c r="F108" s="209">
        <f>IF(ISNA(VLOOKUP(A108,Profiles!$A$2:$F$113,6,FALSE)),0,(VLOOKUP(A108,Profiles!$A$2:$F$113,6,FALSE)))</f>
        <v>0</v>
      </c>
      <c r="G108" s="171">
        <f t="shared" si="5"/>
        <v>55307.87</v>
      </c>
      <c r="H108" s="170" t="str">
        <f>VLOOKUP(A108,'Appendix B'!A:A,1,FALSE)</f>
        <v>N7029</v>
      </c>
      <c r="I108" s="209">
        <f t="shared" si="4"/>
        <v>0</v>
      </c>
    </row>
    <row r="109" spans="1:9" ht="15">
      <c r="A109" s="170" t="s">
        <v>420</v>
      </c>
      <c r="B109" s="170" t="s">
        <v>421</v>
      </c>
      <c r="C109" s="209">
        <v>2200000</v>
      </c>
      <c r="D109" s="209">
        <v>2200000</v>
      </c>
      <c r="E109" s="209">
        <f>VLOOKUP(A109,'Appendix B'!A:F,6,FALSE)</f>
        <v>2200000</v>
      </c>
      <c r="F109" s="209">
        <f>IF(ISNA(VLOOKUP(A109,Profiles!$A$2:$F$113,6,FALSE)),0,(VLOOKUP(A109,Profiles!$A$2:$F$113,6,FALSE)))</f>
        <v>0</v>
      </c>
      <c r="G109" s="171">
        <f t="shared" si="5"/>
        <v>0</v>
      </c>
      <c r="H109" s="170" t="str">
        <f>VLOOKUP(A109,'Appendix B'!A:A,1,FALSE)</f>
        <v>N7030</v>
      </c>
      <c r="I109" s="209">
        <f t="shared" si="4"/>
        <v>0</v>
      </c>
    </row>
    <row r="110" spans="1:9" ht="15">
      <c r="A110" s="170" t="s">
        <v>422</v>
      </c>
      <c r="B110" s="170" t="s">
        <v>423</v>
      </c>
      <c r="C110" s="209">
        <v>650000</v>
      </c>
      <c r="D110" s="209">
        <v>650000</v>
      </c>
      <c r="E110" s="209">
        <f>VLOOKUP(A110,'Appendix B'!A:F,6,FALSE)</f>
        <v>650000</v>
      </c>
      <c r="F110" s="209">
        <f>IF(ISNA(VLOOKUP(A110,Profiles!$A$2:$F$113,6,FALSE)),0,(VLOOKUP(A110,Profiles!$A$2:$F$113,6,FALSE)))</f>
        <v>0</v>
      </c>
      <c r="G110" s="171">
        <f t="shared" si="5"/>
        <v>0</v>
      </c>
      <c r="H110" s="170" t="str">
        <f>VLOOKUP(A110,'Appendix B'!A:A,1,FALSE)</f>
        <v>N7031</v>
      </c>
      <c r="I110" s="209">
        <f t="shared" si="4"/>
        <v>0</v>
      </c>
    </row>
    <row r="111" spans="1:9" ht="15">
      <c r="A111" s="170" t="s">
        <v>424</v>
      </c>
      <c r="B111" s="170" t="s">
        <v>425</v>
      </c>
      <c r="C111" s="209">
        <v>500000</v>
      </c>
      <c r="D111" s="209">
        <v>500000</v>
      </c>
      <c r="E111" s="209">
        <f>VLOOKUP(A111,'Appendix B'!A:F,6,FALSE)</f>
        <v>500000</v>
      </c>
      <c r="F111" s="209">
        <f>IF(ISNA(VLOOKUP(A111,Profiles!$A$2:$F$113,6,FALSE)),0,(VLOOKUP(A111,Profiles!$A$2:$F$113,6,FALSE)))</f>
        <v>20000</v>
      </c>
      <c r="G111" s="171">
        <f t="shared" si="5"/>
        <v>19125</v>
      </c>
      <c r="H111" s="170" t="str">
        <f>VLOOKUP(A111,'Appendix B'!A:A,1,FALSE)</f>
        <v>N7032</v>
      </c>
      <c r="I111" s="209">
        <f t="shared" si="4"/>
        <v>0</v>
      </c>
    </row>
    <row r="112" spans="1:9" ht="15">
      <c r="A112" s="170" t="s">
        <v>61</v>
      </c>
      <c r="B112" s="170" t="s">
        <v>60</v>
      </c>
      <c r="C112" s="209">
        <v>0</v>
      </c>
      <c r="D112" s="209">
        <v>0</v>
      </c>
      <c r="E112" s="209">
        <f>VLOOKUP(A112,'Appendix B'!A:F,6,FALSE)</f>
        <v>90000</v>
      </c>
      <c r="F112" s="209">
        <f>IF(ISNA(VLOOKUP(A112,Profiles!$A$2:$F$113,6,FALSE)),0,(VLOOKUP(A112,Profiles!$A$2:$F$113,6,FALSE)))</f>
        <v>0</v>
      </c>
      <c r="G112" s="175">
        <f t="shared" si="5"/>
        <v>250.11</v>
      </c>
      <c r="H112" s="170" t="str">
        <f>VLOOKUP(A112,'Appendix B'!A:A,1,FALSE)</f>
        <v>Q2000</v>
      </c>
      <c r="I112" s="209">
        <f t="shared" si="4"/>
        <v>90000</v>
      </c>
    </row>
    <row r="113" spans="1:9" ht="15">
      <c r="A113" s="170" t="s">
        <v>185</v>
      </c>
      <c r="B113" s="170" t="s">
        <v>426</v>
      </c>
      <c r="C113" s="209">
        <v>2741579</v>
      </c>
      <c r="D113" s="209">
        <v>2741579</v>
      </c>
      <c r="E113" s="209">
        <f>VLOOKUP(A113,'Appendix B'!A:F,6,FALSE)</f>
        <v>2741579</v>
      </c>
      <c r="F113" s="209">
        <f>IF(ISNA(VLOOKUP(A113,Profiles!$A$2:$F$113,6,FALSE)),0,(VLOOKUP(A113,Profiles!$A$2:$F$113,6,FALSE)))</f>
        <v>683200.84</v>
      </c>
      <c r="G113" s="171">
        <f t="shared" si="5"/>
        <v>587697.73</v>
      </c>
      <c r="H113" s="170" t="str">
        <f>VLOOKUP(A113,'Appendix B'!A:A,1,FALSE)</f>
        <v>R0005</v>
      </c>
      <c r="I113" s="209">
        <f t="shared" si="4"/>
        <v>0</v>
      </c>
    </row>
    <row r="114" spans="1:9" ht="15">
      <c r="A114" s="170" t="s">
        <v>193</v>
      </c>
      <c r="B114" s="170" t="s">
        <v>427</v>
      </c>
      <c r="C114" s="218">
        <v>176945</v>
      </c>
      <c r="D114" s="209">
        <v>176945</v>
      </c>
      <c r="E114" s="209">
        <f>VLOOKUP(A114,'Appendix B'!A:F,6,FALSE)</f>
        <v>176945</v>
      </c>
      <c r="F114" s="209">
        <f>IF(ISNA(VLOOKUP(A114,Profiles!$A$2:$F$113,6,FALSE)),0,(VLOOKUP(A114,Profiles!$A$2:$F$113,6,FALSE)))</f>
        <v>49155.32</v>
      </c>
      <c r="G114" s="171">
        <f t="shared" si="5"/>
        <v>51576.3</v>
      </c>
      <c r="H114" s="170" t="str">
        <f>VLOOKUP(A114,'Appendix B'!A:A,1,FALSE)</f>
        <v>T2269</v>
      </c>
      <c r="I114" s="209">
        <f t="shared" si="4"/>
        <v>0</v>
      </c>
    </row>
    <row r="115" spans="1:9" ht="15">
      <c r="A115" s="170" t="s">
        <v>195</v>
      </c>
      <c r="B115" s="170" t="s">
        <v>428</v>
      </c>
      <c r="C115" s="209">
        <v>0</v>
      </c>
      <c r="D115" s="209">
        <v>0</v>
      </c>
      <c r="E115" s="209">
        <f>VLOOKUP(A115,'Appendix B'!A:F,6,FALSE)</f>
        <v>0</v>
      </c>
      <c r="F115" s="209">
        <f>IF(ISNA(VLOOKUP(A115,Profiles!$A$2:$F$113,6,FALSE)),0,(VLOOKUP(A115,Profiles!$A$2:$F$113,6,FALSE)))</f>
        <v>0</v>
      </c>
      <c r="G115" s="171">
        <f t="shared" si="5"/>
        <v>0</v>
      </c>
      <c r="H115" s="170" t="str">
        <f>VLOOKUP(A115,'Appendix B'!A:A,1,FALSE)</f>
        <v>T2270</v>
      </c>
      <c r="I115" s="209">
        <f t="shared" si="4"/>
        <v>0</v>
      </c>
    </row>
    <row r="116" spans="1:9" ht="15">
      <c r="A116" s="170" t="s">
        <v>429</v>
      </c>
      <c r="B116" s="170" t="s">
        <v>430</v>
      </c>
      <c r="C116" s="209">
        <v>80000</v>
      </c>
      <c r="D116" s="209">
        <v>80000</v>
      </c>
      <c r="E116" s="209">
        <f>VLOOKUP(A116,'Appendix B'!A:F,6,FALSE)</f>
        <v>80000</v>
      </c>
      <c r="F116" s="209">
        <f>IF(ISNA(VLOOKUP(A116,Profiles!$A$2:$F$113,6,FALSE)),0,(VLOOKUP(A116,Profiles!$A$2:$F$113,6,FALSE)))</f>
        <v>0</v>
      </c>
      <c r="G116" s="171">
        <f t="shared" si="5"/>
        <v>0</v>
      </c>
      <c r="H116" s="170" t="str">
        <f>VLOOKUP(A116,'Appendix B'!A:A,1,FALSE)</f>
        <v>T2273</v>
      </c>
      <c r="I116" s="209">
        <f t="shared" si="4"/>
        <v>0</v>
      </c>
    </row>
    <row r="117" spans="1:9" ht="15">
      <c r="A117" s="170" t="s">
        <v>431</v>
      </c>
      <c r="B117" s="170" t="s">
        <v>432</v>
      </c>
      <c r="C117" s="209">
        <v>100000</v>
      </c>
      <c r="D117" s="209">
        <v>100000</v>
      </c>
      <c r="E117" s="209">
        <f>VLOOKUP(A117,'Appendix B'!A:F,6,FALSE)</f>
        <v>100000</v>
      </c>
      <c r="F117" s="209">
        <f>IF(ISNA(VLOOKUP(A117,Profiles!$A$2:$F$113,6,FALSE)),0,(VLOOKUP(A117,Profiles!$A$2:$F$113,6,FALSE)))</f>
        <v>0</v>
      </c>
      <c r="G117" s="171">
        <f t="shared" si="5"/>
        <v>0</v>
      </c>
      <c r="H117" s="170" t="str">
        <f>VLOOKUP(A117,'Appendix B'!A:A,1,FALSE)</f>
        <v>T2274</v>
      </c>
      <c r="I117" s="209">
        <f t="shared" si="4"/>
        <v>0</v>
      </c>
    </row>
    <row r="118" spans="1:7" ht="15">
      <c r="A118" s="170" t="s">
        <v>741</v>
      </c>
      <c r="B118" s="170" t="s">
        <v>742</v>
      </c>
      <c r="D118" s="209">
        <v>200000</v>
      </c>
      <c r="E118" s="209">
        <f>VLOOKUP(A118,'Appendix B'!A:F,6,FALSE)</f>
        <v>0</v>
      </c>
      <c r="F118" s="209">
        <f>IF(ISNA(VLOOKUP(A118,Profiles!$A$2:$F$113,6,FALSE)),0,(VLOOKUP(A118,Profiles!$A$2:$F$113,6,FALSE)))</f>
        <v>0</v>
      </c>
      <c r="G118" s="171">
        <f t="shared" si="5"/>
        <v>0</v>
      </c>
    </row>
    <row r="119" spans="3:10" ht="15">
      <c r="C119" s="219">
        <v>44278810</v>
      </c>
      <c r="D119" s="219">
        <f>SUM(D2:D118)</f>
        <v>44478810.870000005</v>
      </c>
      <c r="E119" s="219">
        <f>SUM(E2:E118)</f>
        <v>37695510</v>
      </c>
      <c r="F119" s="219">
        <f>SUM(F2:F118)</f>
        <v>3055489.76</v>
      </c>
      <c r="G119" s="172">
        <f>SUM(G2:G118)</f>
        <v>3120894.3099999996</v>
      </c>
      <c r="H119" s="172"/>
      <c r="I119" s="172">
        <f>SUM(I2:I118)</f>
        <v>-6583300</v>
      </c>
      <c r="J119" s="172">
        <f>SUM(J2:J118)</f>
        <v>6283300</v>
      </c>
    </row>
    <row r="120" spans="4:9" ht="15">
      <c r="D120" s="209">
        <f>'Appendix B'!E220</f>
        <v>44478810.730000004</v>
      </c>
      <c r="F120" s="209">
        <f>'Appendix B'!H196</f>
        <v>3325989.76</v>
      </c>
      <c r="G120" s="171">
        <f>'Appendix B'!G196</f>
        <v>3120894.31</v>
      </c>
      <c r="I120" s="209">
        <f>I119+J119</f>
        <v>-300000</v>
      </c>
    </row>
    <row r="121" ht="15">
      <c r="G121" s="174">
        <f>G120-G119</f>
        <v>0</v>
      </c>
    </row>
    <row r="124" spans="1:10" s="224" customFormat="1" ht="15">
      <c r="A124" s="224" t="s">
        <v>286</v>
      </c>
      <c r="B124" s="224" t="s">
        <v>287</v>
      </c>
      <c r="C124" s="219" t="s">
        <v>288</v>
      </c>
      <c r="D124" s="219" t="s">
        <v>289</v>
      </c>
      <c r="E124" s="219"/>
      <c r="F124" s="219"/>
      <c r="I124" s="219"/>
      <c r="J124" s="219"/>
    </row>
    <row r="125" spans="1:4" ht="15" hidden="1" outlineLevel="1">
      <c r="A125" s="170" t="s">
        <v>151</v>
      </c>
      <c r="B125" s="170" t="s">
        <v>290</v>
      </c>
      <c r="C125" s="209">
        <v>18146</v>
      </c>
      <c r="D125" s="209">
        <v>2291.24</v>
      </c>
    </row>
    <row r="126" spans="1:4" ht="15" hidden="1" outlineLevel="1">
      <c r="A126" s="170" t="s">
        <v>153</v>
      </c>
      <c r="B126" s="170" t="s">
        <v>291</v>
      </c>
      <c r="C126" s="209">
        <v>74441</v>
      </c>
      <c r="D126" s="209">
        <v>0</v>
      </c>
    </row>
    <row r="127" spans="1:4" ht="15" hidden="1" outlineLevel="1">
      <c r="A127" s="170" t="s">
        <v>292</v>
      </c>
      <c r="B127" s="170" t="s">
        <v>293</v>
      </c>
      <c r="C127" s="209">
        <v>44375</v>
      </c>
      <c r="D127" s="209">
        <v>0</v>
      </c>
    </row>
    <row r="128" spans="1:4" ht="15" hidden="1" outlineLevel="1">
      <c r="A128" s="170" t="s">
        <v>52</v>
      </c>
      <c r="B128" s="170" t="s">
        <v>294</v>
      </c>
      <c r="C128" s="209">
        <v>128278</v>
      </c>
      <c r="D128" s="209">
        <v>0</v>
      </c>
    </row>
    <row r="129" spans="1:4" ht="15" hidden="1" outlineLevel="1">
      <c r="A129" s="170" t="s">
        <v>155</v>
      </c>
      <c r="B129" s="170" t="s">
        <v>295</v>
      </c>
      <c r="C129" s="209">
        <v>7560900</v>
      </c>
      <c r="D129" s="209">
        <v>2085</v>
      </c>
    </row>
    <row r="130" spans="1:4" ht="15" hidden="1" outlineLevel="1">
      <c r="A130" s="33" t="s">
        <v>58</v>
      </c>
      <c r="B130" s="33" t="s">
        <v>296</v>
      </c>
      <c r="C130" s="220">
        <v>370900</v>
      </c>
      <c r="D130" s="220">
        <v>0</v>
      </c>
    </row>
    <row r="131" spans="1:4" ht="15" hidden="1" outlineLevel="1">
      <c r="A131" s="170" t="s">
        <v>160</v>
      </c>
      <c r="B131" s="170" t="s">
        <v>297</v>
      </c>
      <c r="C131" s="209">
        <v>447250</v>
      </c>
      <c r="D131" s="209">
        <v>0</v>
      </c>
    </row>
    <row r="132" spans="1:4" ht="15" hidden="1" outlineLevel="1">
      <c r="A132" s="170" t="s">
        <v>166</v>
      </c>
      <c r="B132" s="170" t="s">
        <v>298</v>
      </c>
      <c r="C132" s="209">
        <v>885800</v>
      </c>
      <c r="D132" s="209">
        <v>59003.13</v>
      </c>
    </row>
    <row r="133" spans="1:4" ht="15" hidden="1" outlineLevel="1">
      <c r="A133" s="170" t="s">
        <v>164</v>
      </c>
      <c r="B133" s="170" t="s">
        <v>299</v>
      </c>
      <c r="C133" s="209">
        <v>124000</v>
      </c>
      <c r="D133" s="209">
        <v>0</v>
      </c>
    </row>
    <row r="134" spans="1:4" ht="15" hidden="1" outlineLevel="1">
      <c r="A134" s="170" t="s">
        <v>170</v>
      </c>
      <c r="B134" s="170" t="s">
        <v>300</v>
      </c>
      <c r="C134" s="209">
        <v>69180</v>
      </c>
      <c r="D134" s="209">
        <v>0</v>
      </c>
    </row>
    <row r="135" spans="1:4" ht="15" hidden="1" outlineLevel="1">
      <c r="A135" s="170" t="s">
        <v>172</v>
      </c>
      <c r="B135" s="170" t="s">
        <v>301</v>
      </c>
      <c r="C135" s="209">
        <v>63170</v>
      </c>
      <c r="D135" s="209">
        <v>-0.2</v>
      </c>
    </row>
    <row r="136" spans="1:4" ht="15" hidden="1" outlineLevel="1">
      <c r="A136" s="170" t="s">
        <v>736</v>
      </c>
      <c r="B136" s="170" t="s">
        <v>737</v>
      </c>
      <c r="C136" s="209">
        <v>0</v>
      </c>
      <c r="D136" s="209">
        <v>1120</v>
      </c>
    </row>
    <row r="137" spans="1:4" ht="15" hidden="1" outlineLevel="1">
      <c r="A137" s="170" t="s">
        <v>302</v>
      </c>
      <c r="B137" s="170" t="s">
        <v>303</v>
      </c>
      <c r="C137" s="209">
        <v>100000</v>
      </c>
      <c r="D137" s="209">
        <v>0</v>
      </c>
    </row>
    <row r="138" spans="1:4" ht="15" hidden="1" outlineLevel="1">
      <c r="A138" s="170" t="s">
        <v>304</v>
      </c>
      <c r="B138" s="170" t="s">
        <v>305</v>
      </c>
      <c r="C138" s="209">
        <v>70000</v>
      </c>
      <c r="D138" s="209">
        <v>0</v>
      </c>
    </row>
    <row r="139" spans="1:4" ht="15" hidden="1" outlineLevel="1">
      <c r="A139" s="170" t="s">
        <v>306</v>
      </c>
      <c r="B139" s="170" t="s">
        <v>307</v>
      </c>
      <c r="C139" s="209">
        <v>10000</v>
      </c>
      <c r="D139" s="209">
        <v>0</v>
      </c>
    </row>
    <row r="140" spans="1:4" ht="15" hidden="1" outlineLevel="1">
      <c r="A140" s="170" t="s">
        <v>308</v>
      </c>
      <c r="B140" s="170" t="s">
        <v>309</v>
      </c>
      <c r="C140" s="209">
        <v>200000</v>
      </c>
      <c r="D140" s="209">
        <v>0</v>
      </c>
    </row>
    <row r="141" spans="1:4" ht="15" hidden="1" outlineLevel="1">
      <c r="A141" s="170" t="s">
        <v>162</v>
      </c>
      <c r="B141" s="170" t="s">
        <v>310</v>
      </c>
      <c r="C141" s="209">
        <v>1000000</v>
      </c>
      <c r="D141" s="209">
        <v>0</v>
      </c>
    </row>
    <row r="142" spans="1:4" ht="15" hidden="1" outlineLevel="1">
      <c r="A142" s="33" t="s">
        <v>84</v>
      </c>
      <c r="B142" s="33" t="s">
        <v>694</v>
      </c>
      <c r="C142" s="220">
        <v>27000</v>
      </c>
      <c r="D142" s="220">
        <v>0</v>
      </c>
    </row>
    <row r="143" spans="1:4" ht="15" hidden="1" outlineLevel="1">
      <c r="A143" s="33" t="s">
        <v>71</v>
      </c>
      <c r="B143" s="33" t="s">
        <v>311</v>
      </c>
      <c r="C143" s="220">
        <v>19440</v>
      </c>
      <c r="D143" s="220">
        <v>32105.6</v>
      </c>
    </row>
    <row r="144" spans="1:4" ht="15" hidden="1" outlineLevel="1">
      <c r="A144" s="170" t="s">
        <v>73</v>
      </c>
      <c r="B144" s="170" t="s">
        <v>695</v>
      </c>
      <c r="C144" s="209">
        <v>56900</v>
      </c>
      <c r="D144" s="209">
        <v>0</v>
      </c>
    </row>
    <row r="145" spans="1:4" ht="15" hidden="1" outlineLevel="1">
      <c r="A145" s="170" t="s">
        <v>75</v>
      </c>
      <c r="B145" s="170" t="s">
        <v>312</v>
      </c>
      <c r="C145" s="209">
        <v>113200</v>
      </c>
      <c r="D145" s="209">
        <v>47.29</v>
      </c>
    </row>
    <row r="146" spans="1:4" ht="15" hidden="1" outlineLevel="1">
      <c r="A146" s="33" t="s">
        <v>66</v>
      </c>
      <c r="B146" s="33" t="s">
        <v>63</v>
      </c>
      <c r="C146" s="220">
        <v>367170</v>
      </c>
      <c r="D146" s="220">
        <v>9429.22</v>
      </c>
    </row>
    <row r="147" spans="1:4" ht="15" hidden="1" outlineLevel="1">
      <c r="A147" s="170" t="s">
        <v>68</v>
      </c>
      <c r="B147" s="170" t="s">
        <v>313</v>
      </c>
      <c r="C147" s="209">
        <v>576300</v>
      </c>
      <c r="D147" s="209">
        <v>20470.25</v>
      </c>
    </row>
    <row r="148" spans="1:4" ht="15" hidden="1" outlineLevel="1">
      <c r="A148" s="170" t="s">
        <v>77</v>
      </c>
      <c r="B148" s="170" t="s">
        <v>314</v>
      </c>
      <c r="C148" s="209">
        <v>202100</v>
      </c>
      <c r="D148" s="209">
        <v>56545.65</v>
      </c>
    </row>
    <row r="149" spans="1:4" ht="15" hidden="1" outlineLevel="1">
      <c r="A149" s="33" t="s">
        <v>105</v>
      </c>
      <c r="B149" s="33" t="s">
        <v>315</v>
      </c>
      <c r="C149" s="220">
        <v>296100</v>
      </c>
      <c r="D149" s="220">
        <v>1447.19</v>
      </c>
    </row>
    <row r="150" spans="1:4" ht="15" hidden="1" outlineLevel="1">
      <c r="A150" s="170" t="s">
        <v>86</v>
      </c>
      <c r="B150" s="170" t="s">
        <v>316</v>
      </c>
      <c r="C150" s="209">
        <v>217280</v>
      </c>
      <c r="D150" s="209">
        <v>3460.45</v>
      </c>
    </row>
    <row r="151" spans="1:4" ht="15" hidden="1" outlineLevel="1">
      <c r="A151" s="170" t="s">
        <v>88</v>
      </c>
      <c r="B151" s="170" t="s">
        <v>317</v>
      </c>
      <c r="C151" s="209">
        <v>67480</v>
      </c>
      <c r="D151" s="209">
        <v>2963.69</v>
      </c>
    </row>
    <row r="152" spans="1:4" ht="15" hidden="1" outlineLevel="1">
      <c r="A152" s="170" t="s">
        <v>318</v>
      </c>
      <c r="B152" s="170" t="s">
        <v>319</v>
      </c>
      <c r="C152" s="209">
        <v>203000</v>
      </c>
      <c r="D152" s="209">
        <v>51200.9</v>
      </c>
    </row>
    <row r="153" spans="1:4" ht="15" hidden="1" outlineLevel="1">
      <c r="A153" s="170" t="s">
        <v>92</v>
      </c>
      <c r="B153" s="170" t="s">
        <v>320</v>
      </c>
      <c r="C153" s="209">
        <v>47200</v>
      </c>
      <c r="D153" s="209">
        <v>0</v>
      </c>
    </row>
    <row r="154" spans="1:4" ht="15" hidden="1" outlineLevel="1">
      <c r="A154" s="170" t="s">
        <v>94</v>
      </c>
      <c r="B154" s="170" t="s">
        <v>321</v>
      </c>
      <c r="C154" s="209">
        <v>39250</v>
      </c>
      <c r="D154" s="209">
        <v>1615.63</v>
      </c>
    </row>
    <row r="155" spans="1:4" ht="15" hidden="1" outlineLevel="1">
      <c r="A155" s="170" t="s">
        <v>96</v>
      </c>
      <c r="B155" s="170" t="s">
        <v>322</v>
      </c>
      <c r="C155" s="209">
        <v>75720</v>
      </c>
      <c r="D155" s="209">
        <v>3747.79</v>
      </c>
    </row>
    <row r="156" spans="1:4" ht="15" hidden="1" outlineLevel="1">
      <c r="A156" s="170" t="s">
        <v>120</v>
      </c>
      <c r="B156" s="170" t="s">
        <v>323</v>
      </c>
      <c r="C156" s="209">
        <v>55200</v>
      </c>
      <c r="D156" s="209">
        <v>3738.04</v>
      </c>
    </row>
    <row r="157" spans="1:4" ht="15" hidden="1" outlineLevel="1">
      <c r="A157" s="170" t="s">
        <v>122</v>
      </c>
      <c r="B157" s="170" t="s">
        <v>324</v>
      </c>
      <c r="C157" s="209">
        <v>43800</v>
      </c>
      <c r="D157" s="209">
        <v>0</v>
      </c>
    </row>
    <row r="158" spans="1:4" ht="15" hidden="1" outlineLevel="1">
      <c r="A158" s="170" t="s">
        <v>124</v>
      </c>
      <c r="B158" s="170" t="s">
        <v>325</v>
      </c>
      <c r="C158" s="209">
        <v>460300</v>
      </c>
      <c r="D158" s="209">
        <v>124376.48</v>
      </c>
    </row>
    <row r="159" spans="1:4" ht="15" hidden="1" outlineLevel="1">
      <c r="A159" s="170" t="s">
        <v>109</v>
      </c>
      <c r="B159" s="170" t="s">
        <v>326</v>
      </c>
      <c r="C159" s="209">
        <v>90000</v>
      </c>
      <c r="D159" s="209">
        <v>48754.84</v>
      </c>
    </row>
    <row r="160" spans="1:4" ht="15" hidden="1" outlineLevel="1">
      <c r="A160" s="170" t="s">
        <v>135</v>
      </c>
      <c r="B160" s="170" t="s">
        <v>134</v>
      </c>
      <c r="C160" s="209">
        <v>425480</v>
      </c>
      <c r="D160" s="209">
        <v>29503.92</v>
      </c>
    </row>
    <row r="161" spans="1:4" ht="15" hidden="1" outlineLevel="1">
      <c r="A161" s="170" t="s">
        <v>117</v>
      </c>
      <c r="B161" s="170" t="s">
        <v>327</v>
      </c>
      <c r="C161" s="209">
        <v>1880000</v>
      </c>
      <c r="D161" s="209">
        <v>0</v>
      </c>
    </row>
    <row r="162" spans="1:4" ht="15" hidden="1" outlineLevel="1">
      <c r="A162" s="33" t="s">
        <v>79</v>
      </c>
      <c r="B162" s="33" t="s">
        <v>328</v>
      </c>
      <c r="C162" s="220">
        <v>125200</v>
      </c>
      <c r="D162" s="220">
        <v>0</v>
      </c>
    </row>
    <row r="163" spans="1:4" ht="15" hidden="1" outlineLevel="1">
      <c r="A163" s="170" t="s">
        <v>81</v>
      </c>
      <c r="B163" s="170" t="s">
        <v>691</v>
      </c>
      <c r="C163" s="209">
        <v>0</v>
      </c>
      <c r="D163" s="209">
        <v>-516.54</v>
      </c>
    </row>
    <row r="164" spans="1:4" ht="15" hidden="1" outlineLevel="1">
      <c r="A164" s="170" t="s">
        <v>126</v>
      </c>
      <c r="B164" s="170" t="s">
        <v>329</v>
      </c>
      <c r="C164" s="209">
        <v>54600</v>
      </c>
      <c r="D164" s="209">
        <v>0</v>
      </c>
    </row>
    <row r="165" spans="1:4" ht="15" hidden="1" outlineLevel="1">
      <c r="A165" s="33" t="s">
        <v>128</v>
      </c>
      <c r="B165" s="33" t="s">
        <v>330</v>
      </c>
      <c r="C165" s="220">
        <v>172000</v>
      </c>
      <c r="D165" s="220">
        <v>76854.7</v>
      </c>
    </row>
    <row r="166" spans="1:4" ht="15" hidden="1" outlineLevel="1">
      <c r="A166" s="170" t="s">
        <v>141</v>
      </c>
      <c r="B166" s="170" t="s">
        <v>331</v>
      </c>
      <c r="C166" s="209">
        <v>333000</v>
      </c>
      <c r="D166" s="209">
        <v>304.69</v>
      </c>
    </row>
    <row r="167" spans="1:4" ht="15" hidden="1" outlineLevel="1">
      <c r="A167" s="170" t="s">
        <v>130</v>
      </c>
      <c r="B167" s="170" t="s">
        <v>332</v>
      </c>
      <c r="C167" s="209">
        <v>47000</v>
      </c>
      <c r="D167" s="209">
        <v>50719</v>
      </c>
    </row>
    <row r="168" spans="1:4" ht="15" hidden="1" outlineLevel="1">
      <c r="A168" s="170" t="s">
        <v>333</v>
      </c>
      <c r="B168" s="170" t="s">
        <v>334</v>
      </c>
      <c r="C168" s="209">
        <v>350000</v>
      </c>
      <c r="D168" s="209">
        <v>0</v>
      </c>
    </row>
    <row r="169" spans="1:4" ht="15" hidden="1" outlineLevel="1">
      <c r="A169" s="170" t="s">
        <v>335</v>
      </c>
      <c r="B169" s="170" t="s">
        <v>336</v>
      </c>
      <c r="C169" s="209">
        <v>5000</v>
      </c>
      <c r="D169" s="209">
        <v>0</v>
      </c>
    </row>
    <row r="170" spans="1:4" ht="15" hidden="1" outlineLevel="1">
      <c r="A170" s="170" t="s">
        <v>337</v>
      </c>
      <c r="B170" s="170" t="s">
        <v>338</v>
      </c>
      <c r="C170" s="209">
        <v>125000</v>
      </c>
      <c r="D170" s="209">
        <v>16625.3</v>
      </c>
    </row>
    <row r="171" spans="1:4" ht="15" hidden="1" outlineLevel="1">
      <c r="A171" s="170" t="s">
        <v>339</v>
      </c>
      <c r="B171" s="170" t="s">
        <v>340</v>
      </c>
      <c r="C171" s="209">
        <v>550000</v>
      </c>
      <c r="D171" s="209">
        <v>0</v>
      </c>
    </row>
    <row r="172" spans="1:4" ht="15" hidden="1" outlineLevel="1">
      <c r="A172" s="170" t="s">
        <v>341</v>
      </c>
      <c r="B172" s="170" t="s">
        <v>342</v>
      </c>
      <c r="C172" s="209">
        <v>200000</v>
      </c>
      <c r="D172" s="209">
        <v>3275.13</v>
      </c>
    </row>
    <row r="173" spans="1:4" ht="15" hidden="1" outlineLevel="1">
      <c r="A173" s="170" t="s">
        <v>343</v>
      </c>
      <c r="B173" s="170" t="s">
        <v>344</v>
      </c>
      <c r="C173" s="209">
        <v>150000</v>
      </c>
      <c r="D173" s="209">
        <v>0</v>
      </c>
    </row>
    <row r="174" spans="1:4" ht="15" hidden="1" outlineLevel="1">
      <c r="A174" s="170" t="s">
        <v>345</v>
      </c>
      <c r="B174" s="170" t="s">
        <v>346</v>
      </c>
      <c r="C174" s="209">
        <v>3000</v>
      </c>
      <c r="D174" s="209">
        <v>0</v>
      </c>
    </row>
    <row r="175" spans="1:4" ht="15" hidden="1" outlineLevel="1">
      <c r="A175" s="170" t="s">
        <v>347</v>
      </c>
      <c r="B175" s="170" t="s">
        <v>348</v>
      </c>
      <c r="C175" s="209">
        <v>8110</v>
      </c>
      <c r="D175" s="209">
        <v>0</v>
      </c>
    </row>
    <row r="176" spans="1:4" ht="15" hidden="1" outlineLevel="1">
      <c r="A176" s="170" t="s">
        <v>349</v>
      </c>
      <c r="B176" s="170" t="s">
        <v>350</v>
      </c>
      <c r="C176" s="209">
        <v>150000</v>
      </c>
      <c r="D176" s="209">
        <v>0</v>
      </c>
    </row>
    <row r="177" spans="1:4" ht="15" hidden="1" outlineLevel="1">
      <c r="A177" s="170" t="s">
        <v>203</v>
      </c>
      <c r="B177" s="170" t="s">
        <v>351</v>
      </c>
      <c r="C177" s="209">
        <v>50000</v>
      </c>
      <c r="D177" s="209">
        <v>43153.51</v>
      </c>
    </row>
    <row r="178" spans="1:4" ht="15" hidden="1" outlineLevel="1">
      <c r="A178" s="170" t="s">
        <v>145</v>
      </c>
      <c r="B178" s="170" t="s">
        <v>352</v>
      </c>
      <c r="C178" s="209">
        <v>11288</v>
      </c>
      <c r="D178" s="209">
        <v>0</v>
      </c>
    </row>
    <row r="179" spans="1:4" ht="15" hidden="1" outlineLevel="1">
      <c r="A179" s="173" t="s">
        <v>147</v>
      </c>
      <c r="B179" s="173" t="s">
        <v>353</v>
      </c>
      <c r="C179" s="190">
        <v>115670</v>
      </c>
      <c r="D179" s="190">
        <v>0</v>
      </c>
    </row>
    <row r="180" spans="1:4" ht="15" hidden="1" outlineLevel="1">
      <c r="A180" s="170" t="s">
        <v>207</v>
      </c>
      <c r="B180" s="170" t="s">
        <v>354</v>
      </c>
      <c r="C180" s="209">
        <v>188574</v>
      </c>
      <c r="D180" s="209">
        <v>176052.5</v>
      </c>
    </row>
    <row r="181" spans="1:4" ht="15" hidden="1" outlineLevel="1">
      <c r="A181" s="170" t="s">
        <v>355</v>
      </c>
      <c r="B181" s="170" t="s">
        <v>356</v>
      </c>
      <c r="C181" s="209">
        <v>98000</v>
      </c>
      <c r="D181" s="209">
        <v>0</v>
      </c>
    </row>
    <row r="182" spans="1:4" ht="15" hidden="1" outlineLevel="1">
      <c r="A182" s="170" t="s">
        <v>357</v>
      </c>
      <c r="B182" s="170" t="s">
        <v>358</v>
      </c>
      <c r="C182" s="209">
        <v>25000</v>
      </c>
      <c r="D182" s="209">
        <v>0</v>
      </c>
    </row>
    <row r="183" spans="1:4" ht="15" hidden="1" outlineLevel="1">
      <c r="A183" s="170" t="s">
        <v>359</v>
      </c>
      <c r="B183" s="170" t="s">
        <v>360</v>
      </c>
      <c r="C183" s="209">
        <v>25000</v>
      </c>
      <c r="D183" s="209">
        <v>0</v>
      </c>
    </row>
    <row r="184" spans="1:4" ht="15" hidden="1" outlineLevel="1">
      <c r="A184" s="170" t="s">
        <v>361</v>
      </c>
      <c r="B184" s="170" t="s">
        <v>362</v>
      </c>
      <c r="C184" s="209">
        <v>25000</v>
      </c>
      <c r="D184" s="209">
        <v>0</v>
      </c>
    </row>
    <row r="185" spans="1:4" ht="15" hidden="1" outlineLevel="1">
      <c r="A185" s="170" t="s">
        <v>363</v>
      </c>
      <c r="B185" s="170" t="s">
        <v>364</v>
      </c>
      <c r="C185" s="209">
        <v>15000</v>
      </c>
      <c r="D185" s="209">
        <v>0</v>
      </c>
    </row>
    <row r="186" spans="1:4" ht="15" hidden="1" outlineLevel="1">
      <c r="A186" s="170" t="s">
        <v>365</v>
      </c>
      <c r="B186" s="170" t="s">
        <v>366</v>
      </c>
      <c r="C186" s="209">
        <v>15000</v>
      </c>
      <c r="D186" s="209">
        <v>0</v>
      </c>
    </row>
    <row r="187" spans="1:4" ht="15" hidden="1" outlineLevel="1">
      <c r="A187" s="170" t="s">
        <v>21</v>
      </c>
      <c r="B187" s="170" t="s">
        <v>367</v>
      </c>
      <c r="C187" s="209">
        <v>10435</v>
      </c>
      <c r="D187" s="209">
        <v>-11897.02</v>
      </c>
    </row>
    <row r="188" spans="1:4" ht="15" hidden="1" outlineLevel="1">
      <c r="A188" s="170" t="s">
        <v>23</v>
      </c>
      <c r="B188" s="170" t="s">
        <v>368</v>
      </c>
      <c r="C188" s="209">
        <v>225308</v>
      </c>
      <c r="D188" s="209">
        <v>78600.94</v>
      </c>
    </row>
    <row r="189" spans="1:4" ht="15" hidden="1" outlineLevel="1">
      <c r="A189" s="170" t="s">
        <v>25</v>
      </c>
      <c r="B189" s="170" t="s">
        <v>369</v>
      </c>
      <c r="C189" s="209">
        <v>300000</v>
      </c>
      <c r="D189" s="209">
        <v>0</v>
      </c>
    </row>
    <row r="190" spans="1:4" ht="15" hidden="1" outlineLevel="1">
      <c r="A190" s="170" t="s">
        <v>179</v>
      </c>
      <c r="B190" s="170" t="s">
        <v>370</v>
      </c>
      <c r="C190" s="209">
        <v>8400</v>
      </c>
      <c r="D190" s="209">
        <v>0</v>
      </c>
    </row>
    <row r="191" spans="1:4" ht="15" hidden="1" outlineLevel="1">
      <c r="A191" s="170" t="s">
        <v>176</v>
      </c>
      <c r="B191" s="170" t="s">
        <v>373</v>
      </c>
      <c r="C191" s="209">
        <v>194503</v>
      </c>
      <c r="D191" s="209">
        <v>7182</v>
      </c>
    </row>
    <row r="192" spans="1:4" ht="15" hidden="1" outlineLevel="1">
      <c r="A192" s="170" t="s">
        <v>6</v>
      </c>
      <c r="B192" s="170" t="s">
        <v>374</v>
      </c>
      <c r="C192" s="209">
        <v>238016</v>
      </c>
      <c r="D192" s="209">
        <v>10190</v>
      </c>
    </row>
    <row r="193" spans="1:4" ht="15" hidden="1" outlineLevel="1">
      <c r="A193" s="170" t="s">
        <v>8</v>
      </c>
      <c r="B193" s="170" t="s">
        <v>696</v>
      </c>
      <c r="C193" s="209">
        <v>1537</v>
      </c>
      <c r="D193" s="209">
        <v>0</v>
      </c>
    </row>
    <row r="194" spans="1:4" ht="15" hidden="1" outlineLevel="1">
      <c r="A194" s="170" t="s">
        <v>375</v>
      </c>
      <c r="B194" s="170" t="s">
        <v>376</v>
      </c>
      <c r="C194" s="209">
        <v>1560</v>
      </c>
      <c r="D194" s="209">
        <v>0</v>
      </c>
    </row>
    <row r="195" spans="1:4" ht="15" hidden="1" outlineLevel="1">
      <c r="A195" s="170" t="s">
        <v>377</v>
      </c>
      <c r="B195" s="170" t="s">
        <v>378</v>
      </c>
      <c r="C195" s="209">
        <v>19887</v>
      </c>
      <c r="D195" s="209">
        <v>0</v>
      </c>
    </row>
    <row r="196" spans="1:4" ht="15" hidden="1" outlineLevel="1">
      <c r="A196" s="170" t="s">
        <v>12</v>
      </c>
      <c r="B196" s="170" t="s">
        <v>697</v>
      </c>
      <c r="C196" s="209">
        <v>14460</v>
      </c>
      <c r="D196" s="209">
        <v>0</v>
      </c>
    </row>
    <row r="197" spans="1:4" ht="15" hidden="1" outlineLevel="1">
      <c r="A197" s="170" t="s">
        <v>379</v>
      </c>
      <c r="B197" s="170" t="s">
        <v>380</v>
      </c>
      <c r="C197" s="209">
        <v>60000</v>
      </c>
      <c r="D197" s="209">
        <v>0</v>
      </c>
    </row>
    <row r="198" spans="1:4" ht="15" hidden="1" outlineLevel="1">
      <c r="A198" s="170" t="s">
        <v>381</v>
      </c>
      <c r="B198" s="170" t="s">
        <v>382</v>
      </c>
      <c r="C198" s="209">
        <v>50000</v>
      </c>
      <c r="D198" s="209">
        <v>0</v>
      </c>
    </row>
    <row r="199" spans="1:4" ht="15" hidden="1" outlineLevel="1">
      <c r="A199" s="170" t="s">
        <v>383</v>
      </c>
      <c r="B199" s="170" t="s">
        <v>384</v>
      </c>
      <c r="C199" s="209">
        <v>60000</v>
      </c>
      <c r="D199" s="209">
        <v>0</v>
      </c>
    </row>
    <row r="200" spans="1:4" ht="15" hidden="1" outlineLevel="1">
      <c r="A200" s="170" t="s">
        <v>385</v>
      </c>
      <c r="B200" s="170" t="s">
        <v>386</v>
      </c>
      <c r="C200" s="209">
        <v>3300</v>
      </c>
      <c r="D200" s="209">
        <v>0</v>
      </c>
    </row>
    <row r="201" spans="1:4" ht="15" hidden="1" outlineLevel="1">
      <c r="A201" s="170" t="s">
        <v>387</v>
      </c>
      <c r="B201" s="170" t="s">
        <v>388</v>
      </c>
      <c r="C201" s="209">
        <v>14635</v>
      </c>
      <c r="D201" s="209">
        <v>0</v>
      </c>
    </row>
    <row r="202" spans="1:4" ht="15" hidden="1" outlineLevel="1">
      <c r="A202" s="170" t="s">
        <v>29</v>
      </c>
      <c r="B202" s="170" t="s">
        <v>389</v>
      </c>
      <c r="C202" s="209">
        <v>19000</v>
      </c>
      <c r="D202" s="209">
        <v>0</v>
      </c>
    </row>
    <row r="203" spans="1:4" ht="15" hidden="1" outlineLevel="1">
      <c r="A203" s="170" t="s">
        <v>31</v>
      </c>
      <c r="B203" s="170" t="s">
        <v>390</v>
      </c>
      <c r="C203" s="209">
        <v>6324</v>
      </c>
      <c r="D203" s="209">
        <v>0</v>
      </c>
    </row>
    <row r="204" spans="1:4" ht="15" hidden="1" outlineLevel="1">
      <c r="A204" s="170" t="s">
        <v>33</v>
      </c>
      <c r="B204" s="170" t="s">
        <v>391</v>
      </c>
      <c r="C204" s="209">
        <v>2550</v>
      </c>
      <c r="D204" s="209">
        <v>0</v>
      </c>
    </row>
    <row r="205" spans="1:4" ht="15" hidden="1" outlineLevel="1">
      <c r="A205" s="170" t="s">
        <v>42</v>
      </c>
      <c r="B205" s="170" t="s">
        <v>698</v>
      </c>
      <c r="C205" s="209">
        <v>19300</v>
      </c>
      <c r="D205" s="209">
        <v>0</v>
      </c>
    </row>
    <row r="206" spans="1:4" ht="15" hidden="1" outlineLevel="1">
      <c r="A206" s="170" t="s">
        <v>35</v>
      </c>
      <c r="B206" s="170" t="s">
        <v>392</v>
      </c>
      <c r="C206" s="209">
        <v>1411</v>
      </c>
      <c r="D206" s="209">
        <v>0</v>
      </c>
    </row>
    <row r="207" spans="1:4" ht="15" hidden="1" outlineLevel="1">
      <c r="A207" s="170" t="s">
        <v>393</v>
      </c>
      <c r="B207" s="170" t="s">
        <v>394</v>
      </c>
      <c r="C207" s="209">
        <v>325000</v>
      </c>
      <c r="D207" s="209">
        <v>0</v>
      </c>
    </row>
    <row r="208" spans="1:4" ht="15" hidden="1" outlineLevel="1">
      <c r="A208" s="170" t="s">
        <v>395</v>
      </c>
      <c r="B208" s="170" t="s">
        <v>396</v>
      </c>
      <c r="C208" s="209">
        <v>25000</v>
      </c>
      <c r="D208" s="209">
        <v>0</v>
      </c>
    </row>
    <row r="209" spans="1:4" ht="15" hidden="1" outlineLevel="1">
      <c r="A209" s="170" t="s">
        <v>397</v>
      </c>
      <c r="B209" s="170" t="s">
        <v>398</v>
      </c>
      <c r="C209" s="209">
        <v>18000</v>
      </c>
      <c r="D209" s="209">
        <v>0</v>
      </c>
    </row>
    <row r="210" spans="1:4" ht="15" hidden="1" outlineLevel="1">
      <c r="A210" s="170" t="s">
        <v>16</v>
      </c>
      <c r="B210" s="170" t="s">
        <v>399</v>
      </c>
      <c r="C210" s="209">
        <v>217225</v>
      </c>
      <c r="D210" s="209">
        <v>0</v>
      </c>
    </row>
    <row r="211" spans="1:4" ht="15" hidden="1" outlineLevel="1">
      <c r="A211" s="170" t="s">
        <v>48</v>
      </c>
      <c r="B211" s="170" t="s">
        <v>400</v>
      </c>
      <c r="C211" s="209">
        <v>0</v>
      </c>
      <c r="D211" s="209">
        <v>-472.36</v>
      </c>
    </row>
    <row r="212" spans="1:4" ht="15" hidden="1" outlineLevel="1">
      <c r="A212" s="170" t="s">
        <v>214</v>
      </c>
      <c r="B212" s="170" t="s">
        <v>401</v>
      </c>
      <c r="C212" s="209">
        <v>500000</v>
      </c>
      <c r="D212" s="209">
        <v>2936.22</v>
      </c>
    </row>
    <row r="213" spans="1:4" ht="15" hidden="1" outlineLevel="1">
      <c r="A213" s="170" t="s">
        <v>256</v>
      </c>
      <c r="B213" s="170" t="s">
        <v>402</v>
      </c>
      <c r="C213" s="209">
        <v>226080</v>
      </c>
      <c r="D213" s="209">
        <v>149376.29</v>
      </c>
    </row>
    <row r="214" spans="1:4" ht="15" hidden="1" outlineLevel="1">
      <c r="A214" s="170" t="s">
        <v>232</v>
      </c>
      <c r="B214" s="170" t="s">
        <v>403</v>
      </c>
      <c r="C214" s="209">
        <v>125000</v>
      </c>
      <c r="D214" s="209">
        <v>54205.94</v>
      </c>
    </row>
    <row r="215" spans="1:4" ht="15" hidden="1" outlineLevel="1">
      <c r="A215" s="170" t="s">
        <v>216</v>
      </c>
      <c r="B215" s="170" t="s">
        <v>404</v>
      </c>
      <c r="C215" s="209">
        <v>210000</v>
      </c>
      <c r="D215" s="209">
        <v>35572.39</v>
      </c>
    </row>
    <row r="216" spans="1:4" ht="15" hidden="1" outlineLevel="1">
      <c r="A216" s="170" t="s">
        <v>262</v>
      </c>
      <c r="B216" s="170" t="s">
        <v>405</v>
      </c>
      <c r="C216" s="209">
        <v>205984</v>
      </c>
      <c r="D216" s="209">
        <v>160999.07</v>
      </c>
    </row>
    <row r="217" spans="1:4" ht="15" hidden="1" outlineLevel="1">
      <c r="A217" s="170" t="s">
        <v>228</v>
      </c>
      <c r="B217" s="170" t="s">
        <v>406</v>
      </c>
      <c r="C217" s="209">
        <v>90000</v>
      </c>
      <c r="D217" s="209">
        <v>56128.01</v>
      </c>
    </row>
    <row r="218" spans="1:4" ht="15" hidden="1" outlineLevel="1">
      <c r="A218" s="170" t="s">
        <v>258</v>
      </c>
      <c r="B218" s="170" t="s">
        <v>407</v>
      </c>
      <c r="C218" s="209">
        <v>503117.1</v>
      </c>
      <c r="D218" s="209">
        <v>556865.71</v>
      </c>
    </row>
    <row r="219" spans="1:4" ht="15" hidden="1" outlineLevel="1">
      <c r="A219" s="170" t="s">
        <v>260</v>
      </c>
      <c r="B219" s="170" t="s">
        <v>408</v>
      </c>
      <c r="C219" s="209">
        <v>282051</v>
      </c>
      <c r="D219" s="209">
        <v>314453.54</v>
      </c>
    </row>
    <row r="220" spans="1:4" ht="15" hidden="1" outlineLevel="1">
      <c r="A220" s="170" t="s">
        <v>230</v>
      </c>
      <c r="B220" s="170" t="s">
        <v>409</v>
      </c>
      <c r="C220" s="209">
        <v>150000</v>
      </c>
      <c r="D220" s="209">
        <v>50693.46</v>
      </c>
    </row>
    <row r="221" spans="1:4" ht="15" hidden="1" outlineLevel="1">
      <c r="A221" s="170" t="s">
        <v>218</v>
      </c>
      <c r="B221" s="170" t="s">
        <v>410</v>
      </c>
      <c r="C221" s="209">
        <v>200000</v>
      </c>
      <c r="D221" s="209">
        <v>6632.66</v>
      </c>
    </row>
    <row r="222" spans="1:4" ht="15" hidden="1" outlineLevel="1">
      <c r="A222" s="170" t="s">
        <v>226</v>
      </c>
      <c r="B222" s="170" t="s">
        <v>411</v>
      </c>
      <c r="C222" s="209">
        <v>250000</v>
      </c>
      <c r="D222" s="209">
        <v>3719.08</v>
      </c>
    </row>
    <row r="223" spans="1:4" ht="15" hidden="1" outlineLevel="1">
      <c r="A223" s="170" t="s">
        <v>264</v>
      </c>
      <c r="B223" s="170" t="s">
        <v>412</v>
      </c>
      <c r="C223" s="209">
        <v>197192</v>
      </c>
      <c r="D223" s="209">
        <v>75593.75</v>
      </c>
    </row>
    <row r="224" spans="1:4" ht="15" hidden="1" outlineLevel="1">
      <c r="A224" s="170" t="s">
        <v>236</v>
      </c>
      <c r="B224" s="170" t="s">
        <v>413</v>
      </c>
      <c r="C224" s="209">
        <v>0</v>
      </c>
      <c r="D224" s="209">
        <v>-4643.5</v>
      </c>
    </row>
    <row r="225" spans="1:4" ht="15" hidden="1" outlineLevel="1">
      <c r="A225" s="170" t="s">
        <v>248</v>
      </c>
      <c r="B225" s="170" t="s">
        <v>738</v>
      </c>
      <c r="C225" s="209">
        <v>0</v>
      </c>
      <c r="D225" s="209">
        <v>583.9</v>
      </c>
    </row>
    <row r="226" spans="1:4" ht="15" hidden="1" outlineLevel="1">
      <c r="A226" s="170" t="s">
        <v>224</v>
      </c>
      <c r="B226" s="170" t="s">
        <v>414</v>
      </c>
      <c r="C226" s="209">
        <v>19000</v>
      </c>
      <c r="D226" s="209">
        <v>15.73</v>
      </c>
    </row>
    <row r="227" spans="1:4" ht="15" hidden="1" outlineLevel="1">
      <c r="A227" s="170" t="s">
        <v>220</v>
      </c>
      <c r="B227" s="170" t="s">
        <v>415</v>
      </c>
      <c r="C227" s="209">
        <v>250000</v>
      </c>
      <c r="D227" s="209">
        <v>35898.59</v>
      </c>
    </row>
    <row r="228" spans="1:4" ht="15" hidden="1" outlineLevel="1">
      <c r="A228" s="170" t="s">
        <v>242</v>
      </c>
      <c r="B228" s="170" t="s">
        <v>416</v>
      </c>
      <c r="C228" s="209">
        <v>150000</v>
      </c>
      <c r="D228" s="209">
        <v>0</v>
      </c>
    </row>
    <row r="229" spans="1:4" ht="15" hidden="1" outlineLevel="1">
      <c r="A229" s="170" t="s">
        <v>244</v>
      </c>
      <c r="B229" s="170" t="s">
        <v>417</v>
      </c>
      <c r="C229" s="209">
        <v>100000</v>
      </c>
      <c r="D229" s="209">
        <v>0</v>
      </c>
    </row>
    <row r="230" spans="1:4" ht="15" hidden="1" outlineLevel="1">
      <c r="A230" s="170" t="s">
        <v>240</v>
      </c>
      <c r="B230" s="170" t="s">
        <v>418</v>
      </c>
      <c r="C230" s="209">
        <v>117000</v>
      </c>
      <c r="D230" s="209">
        <v>0</v>
      </c>
    </row>
    <row r="231" spans="1:4" ht="15" hidden="1" outlineLevel="1">
      <c r="A231" s="170" t="s">
        <v>252</v>
      </c>
      <c r="B231" s="170" t="s">
        <v>419</v>
      </c>
      <c r="C231" s="209">
        <v>7744000</v>
      </c>
      <c r="D231" s="209">
        <v>55307.87</v>
      </c>
    </row>
    <row r="232" spans="1:4" ht="15" hidden="1" outlineLevel="1">
      <c r="A232" s="170" t="s">
        <v>420</v>
      </c>
      <c r="B232" s="170" t="s">
        <v>421</v>
      </c>
      <c r="C232" s="209">
        <v>2200000</v>
      </c>
      <c r="D232" s="209">
        <v>0</v>
      </c>
    </row>
    <row r="233" spans="1:4" ht="15" hidden="1" outlineLevel="1">
      <c r="A233" s="170" t="s">
        <v>422</v>
      </c>
      <c r="B233" s="170" t="s">
        <v>423</v>
      </c>
      <c r="C233" s="209">
        <v>650000</v>
      </c>
      <c r="D233" s="209">
        <v>0</v>
      </c>
    </row>
    <row r="234" spans="1:4" ht="15" hidden="1" outlineLevel="1">
      <c r="A234" s="170" t="s">
        <v>424</v>
      </c>
      <c r="B234" s="170" t="s">
        <v>425</v>
      </c>
      <c r="C234" s="209">
        <v>20000</v>
      </c>
      <c r="D234" s="209">
        <v>19125</v>
      </c>
    </row>
    <row r="235" spans="1:4" ht="15" hidden="1" outlineLevel="1">
      <c r="A235" s="170" t="s">
        <v>61</v>
      </c>
      <c r="B235" s="170" t="s">
        <v>60</v>
      </c>
      <c r="C235" s="209">
        <v>0</v>
      </c>
      <c r="D235" s="209">
        <v>250.11</v>
      </c>
    </row>
    <row r="236" spans="1:4" ht="15" hidden="1" outlineLevel="1">
      <c r="A236" s="170" t="s">
        <v>185</v>
      </c>
      <c r="B236" s="170" t="s">
        <v>426</v>
      </c>
      <c r="C236" s="209">
        <v>683200.84</v>
      </c>
      <c r="D236" s="209">
        <v>587697.73</v>
      </c>
    </row>
    <row r="237" spans="1:4" ht="15" hidden="1" outlineLevel="1">
      <c r="A237" s="170" t="s">
        <v>193</v>
      </c>
      <c r="B237" s="170" t="s">
        <v>427</v>
      </c>
      <c r="C237" s="209">
        <v>49155.32</v>
      </c>
      <c r="D237" s="209">
        <v>51576.3</v>
      </c>
    </row>
    <row r="238" spans="1:4" ht="15" hidden="1" outlineLevel="1">
      <c r="A238" s="170" t="s">
        <v>195</v>
      </c>
      <c r="B238" s="170" t="s">
        <v>428</v>
      </c>
      <c r="C238" s="209">
        <v>0</v>
      </c>
      <c r="D238" s="209">
        <v>-6816.22</v>
      </c>
    </row>
    <row r="239" spans="3:4" ht="15" collapsed="1">
      <c r="C239" s="219">
        <v>36028433.26</v>
      </c>
      <c r="D239" s="219">
        <v>3110149.59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2"/>
  <sheetViews>
    <sheetView zoomScale="85" zoomScaleNormal="85" zoomScalePageLayoutView="0" workbookViewId="0" topLeftCell="A1">
      <pane ySplit="4" topLeftCell="A170" activePane="bottomLeft" state="frozen"/>
      <selection pane="topLeft" activeCell="A1" sqref="A1"/>
      <selection pane="bottomLeft" activeCell="C185" sqref="C185"/>
    </sheetView>
  </sheetViews>
  <sheetFormatPr defaultColWidth="9.140625" defaultRowHeight="15"/>
  <cols>
    <col min="1" max="1" width="79.7109375" style="0" bestFit="1" customWidth="1"/>
    <col min="2" max="4" width="13.57421875" style="0" bestFit="1" customWidth="1"/>
    <col min="5" max="5" width="13.7109375" style="0" bestFit="1" customWidth="1"/>
    <col min="6" max="6" width="13.57421875" style="0" bestFit="1" customWidth="1"/>
  </cols>
  <sheetData>
    <row r="1" spans="1:6" ht="18">
      <c r="A1" s="3"/>
      <c r="B1" s="3"/>
      <c r="C1" s="3"/>
      <c r="D1" s="68"/>
      <c r="E1" s="3"/>
      <c r="F1" s="3"/>
    </row>
    <row r="2" spans="1:6" ht="18">
      <c r="A2" s="259" t="s">
        <v>482</v>
      </c>
      <c r="B2" s="259"/>
      <c r="C2" s="259"/>
      <c r="D2" s="259"/>
      <c r="E2" s="259"/>
      <c r="F2" s="259"/>
    </row>
    <row r="4" spans="1:6" ht="15.75">
      <c r="A4" s="36"/>
      <c r="B4" s="37" t="s">
        <v>483</v>
      </c>
      <c r="C4" s="37" t="s">
        <v>484</v>
      </c>
      <c r="D4" s="37" t="s">
        <v>485</v>
      </c>
      <c r="E4" s="37" t="s">
        <v>486</v>
      </c>
      <c r="F4" s="55" t="s">
        <v>487</v>
      </c>
    </row>
    <row r="5" spans="1:6" ht="15.75">
      <c r="A5" s="38" t="s">
        <v>488</v>
      </c>
      <c r="B5" s="37" t="s">
        <v>5</v>
      </c>
      <c r="C5" s="37" t="s">
        <v>5</v>
      </c>
      <c r="D5" s="37" t="s">
        <v>5</v>
      </c>
      <c r="E5" s="37" t="s">
        <v>5</v>
      </c>
      <c r="F5" s="55" t="s">
        <v>5</v>
      </c>
    </row>
    <row r="6" spans="1:6" ht="15.75">
      <c r="A6" s="39"/>
      <c r="B6" s="41"/>
      <c r="C6" s="41"/>
      <c r="D6" s="41"/>
      <c r="E6" s="41"/>
      <c r="F6" s="56"/>
    </row>
    <row r="7" spans="1:6" ht="15.75">
      <c r="A7" s="39" t="s">
        <v>7</v>
      </c>
      <c r="B7" s="41">
        <v>259703</v>
      </c>
      <c r="C7" s="41"/>
      <c r="D7" s="41"/>
      <c r="E7" s="41"/>
      <c r="F7" s="56"/>
    </row>
    <row r="8" spans="1:6" ht="15.75">
      <c r="A8" s="39" t="s">
        <v>177</v>
      </c>
      <c r="B8" s="41">
        <v>190000</v>
      </c>
      <c r="C8" s="41">
        <v>50000</v>
      </c>
      <c r="D8" s="41">
        <v>50000</v>
      </c>
      <c r="E8" s="41"/>
      <c r="F8" s="56"/>
    </row>
    <row r="9" spans="1:6" ht="15.75">
      <c r="A9" s="39"/>
      <c r="B9" s="41"/>
      <c r="C9" s="41"/>
      <c r="D9" s="41"/>
      <c r="E9" s="41"/>
      <c r="F9" s="56"/>
    </row>
    <row r="10" spans="1:6" ht="15.75">
      <c r="A10" s="39" t="s">
        <v>489</v>
      </c>
      <c r="B10" s="41">
        <v>19887</v>
      </c>
      <c r="C10" s="41"/>
      <c r="D10" s="41"/>
      <c r="E10" s="41"/>
      <c r="F10" s="56"/>
    </row>
    <row r="11" spans="1:6" ht="15.75">
      <c r="A11" s="39" t="s">
        <v>490</v>
      </c>
      <c r="B11" s="41">
        <v>44375</v>
      </c>
      <c r="C11" s="41"/>
      <c r="D11" s="41"/>
      <c r="E11" s="41"/>
      <c r="F11" s="56"/>
    </row>
    <row r="12" spans="1:6" ht="15.75">
      <c r="A12" s="39" t="s">
        <v>491</v>
      </c>
      <c r="B12" s="41">
        <v>60000</v>
      </c>
      <c r="C12" s="41"/>
      <c r="D12" s="41"/>
      <c r="E12" s="41"/>
      <c r="F12" s="56"/>
    </row>
    <row r="13" spans="1:6" ht="15.75">
      <c r="A13" s="39" t="s">
        <v>492</v>
      </c>
      <c r="B13" s="41">
        <v>60000</v>
      </c>
      <c r="C13" s="41"/>
      <c r="D13" s="41"/>
      <c r="E13" s="41"/>
      <c r="F13" s="56"/>
    </row>
    <row r="14" spans="1:6" ht="15.75">
      <c r="A14" s="39" t="s">
        <v>493</v>
      </c>
      <c r="B14" s="41">
        <v>3300</v>
      </c>
      <c r="C14" s="41"/>
      <c r="D14" s="41"/>
      <c r="E14" s="41"/>
      <c r="F14" s="56"/>
    </row>
    <row r="15" spans="1:6" ht="15.75">
      <c r="A15" s="39" t="s">
        <v>494</v>
      </c>
      <c r="B15" s="41">
        <v>1560</v>
      </c>
      <c r="C15" s="41"/>
      <c r="D15" s="41"/>
      <c r="E15" s="41"/>
      <c r="F15" s="56"/>
    </row>
    <row r="16" spans="1:6" ht="15.75">
      <c r="A16" s="39" t="s">
        <v>495</v>
      </c>
      <c r="B16" s="41">
        <v>217225</v>
      </c>
      <c r="C16" s="41"/>
      <c r="D16" s="41"/>
      <c r="E16" s="41"/>
      <c r="F16" s="56"/>
    </row>
    <row r="17" spans="1:6" ht="15.75">
      <c r="A17" s="39" t="s">
        <v>496</v>
      </c>
      <c r="B17" s="41">
        <v>14635</v>
      </c>
      <c r="C17" s="41"/>
      <c r="D17" s="41"/>
      <c r="E17" s="41"/>
      <c r="F17" s="56"/>
    </row>
    <row r="18" spans="1:6" ht="15.75">
      <c r="A18" s="39" t="s">
        <v>497</v>
      </c>
      <c r="B18" s="41">
        <v>50000</v>
      </c>
      <c r="C18" s="41"/>
      <c r="D18" s="41"/>
      <c r="E18" s="41"/>
      <c r="F18" s="56"/>
    </row>
    <row r="19" spans="1:6" ht="15.75">
      <c r="A19" s="39" t="s">
        <v>498</v>
      </c>
      <c r="B19" s="41"/>
      <c r="C19" s="41">
        <v>1830</v>
      </c>
      <c r="D19" s="41"/>
      <c r="E19" s="41"/>
      <c r="F19" s="56"/>
    </row>
    <row r="20" spans="1:6" ht="15.75">
      <c r="A20" s="39"/>
      <c r="B20" s="41"/>
      <c r="C20" s="41"/>
      <c r="D20" s="41"/>
      <c r="E20" s="41"/>
      <c r="F20" s="56"/>
    </row>
    <row r="21" spans="1:6" ht="15.75">
      <c r="A21" s="42" t="s">
        <v>499</v>
      </c>
      <c r="B21" s="43">
        <v>920685</v>
      </c>
      <c r="C21" s="43">
        <v>51830</v>
      </c>
      <c r="D21" s="43">
        <v>50000</v>
      </c>
      <c r="E21" s="43">
        <v>0</v>
      </c>
      <c r="F21" s="57">
        <v>0</v>
      </c>
    </row>
    <row r="22" spans="1:6" ht="15.75">
      <c r="A22" s="39"/>
      <c r="B22" s="40"/>
      <c r="C22" s="40"/>
      <c r="D22" s="40"/>
      <c r="E22" s="40"/>
      <c r="F22" s="58"/>
    </row>
    <row r="23" spans="1:6" ht="15.75">
      <c r="A23" s="39" t="s">
        <v>22</v>
      </c>
      <c r="B23" s="41">
        <v>50000</v>
      </c>
      <c r="C23" s="41">
        <v>50000</v>
      </c>
      <c r="D23" s="41">
        <v>50000</v>
      </c>
      <c r="E23" s="41">
        <v>50000</v>
      </c>
      <c r="F23" s="56">
        <v>50000</v>
      </c>
    </row>
    <row r="24" spans="1:6" ht="15.75">
      <c r="A24" s="39" t="s">
        <v>24</v>
      </c>
      <c r="B24" s="41">
        <v>840000</v>
      </c>
      <c r="C24" s="41">
        <v>640000</v>
      </c>
      <c r="D24" s="41">
        <v>640000</v>
      </c>
      <c r="E24" s="41">
        <v>640000</v>
      </c>
      <c r="F24" s="56">
        <v>640000</v>
      </c>
    </row>
    <row r="25" spans="1:6" ht="15.75">
      <c r="A25" s="39" t="s">
        <v>500</v>
      </c>
      <c r="B25" s="41">
        <v>300000</v>
      </c>
      <c r="C25" s="41"/>
      <c r="D25" s="41"/>
      <c r="E25" s="41"/>
      <c r="F25" s="56"/>
    </row>
    <row r="26" spans="1:6" ht="15.75">
      <c r="A26" s="39"/>
      <c r="B26" s="41"/>
      <c r="C26" s="41"/>
      <c r="D26" s="41"/>
      <c r="E26" s="41"/>
      <c r="F26" s="56"/>
    </row>
    <row r="27" spans="1:6" ht="15.75">
      <c r="A27" s="42" t="s">
        <v>501</v>
      </c>
      <c r="B27" s="43">
        <v>1190000</v>
      </c>
      <c r="C27" s="43">
        <v>690000</v>
      </c>
      <c r="D27" s="43">
        <v>690000</v>
      </c>
      <c r="E27" s="43">
        <v>690000</v>
      </c>
      <c r="F27" s="57">
        <v>690000</v>
      </c>
    </row>
    <row r="28" spans="1:6" ht="15.75">
      <c r="A28" s="39"/>
      <c r="B28" s="41"/>
      <c r="C28" s="41"/>
      <c r="D28" s="41"/>
      <c r="E28" s="41"/>
      <c r="F28" s="56"/>
    </row>
    <row r="29" spans="1:6" ht="15.75">
      <c r="A29" s="39" t="s">
        <v>30</v>
      </c>
      <c r="B29" s="41">
        <v>19000</v>
      </c>
      <c r="C29" s="41"/>
      <c r="D29" s="41"/>
      <c r="E29" s="41"/>
      <c r="F29" s="56"/>
    </row>
    <row r="30" spans="1:6" ht="15.75">
      <c r="A30" s="39" t="s">
        <v>502</v>
      </c>
      <c r="B30" s="41">
        <v>6324</v>
      </c>
      <c r="C30" s="41"/>
      <c r="D30" s="41"/>
      <c r="E30" s="41"/>
      <c r="F30" s="56"/>
    </row>
    <row r="31" spans="1:6" ht="15.75">
      <c r="A31" s="39" t="s">
        <v>34</v>
      </c>
      <c r="B31" s="41">
        <v>2550</v>
      </c>
      <c r="C31" s="41"/>
      <c r="D31" s="41"/>
      <c r="E31" s="41"/>
      <c r="F31" s="56"/>
    </row>
    <row r="32" spans="1:6" ht="15.75">
      <c r="A32" s="39" t="s">
        <v>503</v>
      </c>
      <c r="B32" s="41">
        <v>1411</v>
      </c>
      <c r="C32" s="41"/>
      <c r="D32" s="41"/>
      <c r="E32" s="41"/>
      <c r="F32" s="56"/>
    </row>
    <row r="33" spans="1:6" ht="15.75">
      <c r="A33" s="39"/>
      <c r="B33" s="41"/>
      <c r="C33" s="41"/>
      <c r="D33" s="41"/>
      <c r="E33" s="41"/>
      <c r="F33" s="56"/>
    </row>
    <row r="34" spans="1:6" ht="15.75">
      <c r="A34" s="39" t="s">
        <v>504</v>
      </c>
      <c r="B34" s="41">
        <v>325000</v>
      </c>
      <c r="C34" s="41"/>
      <c r="D34" s="41"/>
      <c r="E34" s="41"/>
      <c r="F34" s="56"/>
    </row>
    <row r="35" spans="1:6" ht="15.75">
      <c r="A35" s="39" t="s">
        <v>505</v>
      </c>
      <c r="B35" s="41">
        <v>25000</v>
      </c>
      <c r="C35" s="41"/>
      <c r="D35" s="41"/>
      <c r="E35" s="41"/>
      <c r="F35" s="56"/>
    </row>
    <row r="36" spans="1:6" ht="15.75">
      <c r="A36" s="39" t="s">
        <v>506</v>
      </c>
      <c r="B36" s="41">
        <v>18000</v>
      </c>
      <c r="C36" s="41"/>
      <c r="D36" s="41"/>
      <c r="E36" s="41"/>
      <c r="F36" s="56"/>
    </row>
    <row r="37" spans="1:6" ht="15.75">
      <c r="A37" s="39" t="s">
        <v>478</v>
      </c>
      <c r="B37" s="41"/>
      <c r="C37" s="41">
        <v>200000</v>
      </c>
      <c r="D37" s="41"/>
      <c r="E37" s="41"/>
      <c r="F37" s="56"/>
    </row>
    <row r="38" spans="1:6" ht="15.75">
      <c r="A38" s="39" t="s">
        <v>507</v>
      </c>
      <c r="B38" s="41"/>
      <c r="C38" s="41">
        <v>50000</v>
      </c>
      <c r="D38" s="41"/>
      <c r="E38" s="41"/>
      <c r="F38" s="56"/>
    </row>
    <row r="39" spans="1:6" ht="15.75">
      <c r="A39" s="39" t="s">
        <v>480</v>
      </c>
      <c r="B39" s="41"/>
      <c r="C39" s="41">
        <v>50000</v>
      </c>
      <c r="D39" s="41"/>
      <c r="E39" s="41"/>
      <c r="F39" s="56"/>
    </row>
    <row r="40" spans="1:6" ht="15.75">
      <c r="A40" s="39"/>
      <c r="B40" s="41"/>
      <c r="C40" s="41"/>
      <c r="D40" s="41"/>
      <c r="E40" s="41"/>
      <c r="F40" s="56"/>
    </row>
    <row r="41" spans="1:6" ht="15.75">
      <c r="A41" s="42" t="s">
        <v>508</v>
      </c>
      <c r="B41" s="43">
        <v>397285</v>
      </c>
      <c r="C41" s="43">
        <v>300000</v>
      </c>
      <c r="D41" s="43">
        <v>0</v>
      </c>
      <c r="E41" s="43">
        <v>0</v>
      </c>
      <c r="F41" s="57">
        <v>0</v>
      </c>
    </row>
    <row r="42" spans="1:6" ht="15.75">
      <c r="A42" s="39"/>
      <c r="B42" s="41"/>
      <c r="C42" s="41"/>
      <c r="D42" s="41"/>
      <c r="E42" s="41"/>
      <c r="F42" s="56"/>
    </row>
    <row r="43" spans="1:6" ht="15.75">
      <c r="A43" s="39" t="s">
        <v>509</v>
      </c>
      <c r="B43" s="41">
        <v>128278</v>
      </c>
      <c r="C43" s="41"/>
      <c r="D43" s="41"/>
      <c r="E43" s="41"/>
      <c r="F43" s="56"/>
    </row>
    <row r="44" spans="1:6" ht="15.75">
      <c r="A44" s="39" t="s">
        <v>510</v>
      </c>
      <c r="B44" s="41">
        <v>310000</v>
      </c>
      <c r="C44" s="41">
        <v>66000</v>
      </c>
      <c r="D44" s="41"/>
      <c r="E44" s="41"/>
      <c r="F44" s="56"/>
    </row>
    <row r="45" spans="1:6" ht="15.75">
      <c r="A45" s="39"/>
      <c r="B45" s="41"/>
      <c r="C45" s="41"/>
      <c r="D45" s="41"/>
      <c r="E45" s="41"/>
      <c r="F45" s="56"/>
    </row>
    <row r="46" spans="1:6" ht="15.75">
      <c r="A46" s="39" t="s">
        <v>511</v>
      </c>
      <c r="B46" s="41">
        <v>26941</v>
      </c>
      <c r="C46" s="41"/>
      <c r="D46" s="41"/>
      <c r="E46" s="41"/>
      <c r="F46" s="56"/>
    </row>
    <row r="47" spans="1:6" ht="15.75">
      <c r="A47" s="39" t="s">
        <v>512</v>
      </c>
      <c r="B47" s="41">
        <v>90000</v>
      </c>
      <c r="C47" s="41"/>
      <c r="D47" s="41"/>
      <c r="E47" s="41"/>
      <c r="F47" s="56"/>
    </row>
    <row r="48" spans="1:6" ht="15.75">
      <c r="A48" s="39" t="s">
        <v>69</v>
      </c>
      <c r="B48" s="54">
        <v>88000</v>
      </c>
      <c r="C48" s="41"/>
      <c r="D48" s="41"/>
      <c r="E48" s="41"/>
      <c r="F48" s="56"/>
    </row>
    <row r="49" spans="1:6" ht="15.75">
      <c r="A49" s="39" t="s">
        <v>513</v>
      </c>
      <c r="B49" s="41">
        <v>50000</v>
      </c>
      <c r="C49" s="41"/>
      <c r="D49" s="41"/>
      <c r="E49" s="41"/>
      <c r="F49" s="56"/>
    </row>
    <row r="50" spans="1:6" ht="15.75">
      <c r="A50" s="39" t="s">
        <v>514</v>
      </c>
      <c r="B50" s="41">
        <v>43000</v>
      </c>
      <c r="C50" s="41"/>
      <c r="D50" s="41"/>
      <c r="E50" s="41"/>
      <c r="F50" s="56"/>
    </row>
    <row r="51" spans="1:6" ht="15.75">
      <c r="A51" s="39" t="s">
        <v>97</v>
      </c>
      <c r="B51" s="41">
        <v>20000</v>
      </c>
      <c r="C51" s="41"/>
      <c r="D51" s="41"/>
      <c r="E51" s="41"/>
      <c r="F51" s="56"/>
    </row>
    <row r="52" spans="1:6" ht="15.75">
      <c r="A52" s="39" t="s">
        <v>110</v>
      </c>
      <c r="B52" s="41">
        <v>75000</v>
      </c>
      <c r="C52" s="41"/>
      <c r="D52" s="41"/>
      <c r="E52" s="41"/>
      <c r="F52" s="56"/>
    </row>
    <row r="53" spans="1:6" ht="15.75">
      <c r="A53" s="39" t="s">
        <v>515</v>
      </c>
      <c r="B53" s="41">
        <v>297702</v>
      </c>
      <c r="C53" s="41"/>
      <c r="D53" s="41"/>
      <c r="E53" s="41"/>
      <c r="F53" s="56"/>
    </row>
    <row r="54" spans="1:6" ht="15.75">
      <c r="A54" s="39" t="s">
        <v>118</v>
      </c>
      <c r="B54" s="41">
        <v>1880000</v>
      </c>
      <c r="C54" s="41"/>
      <c r="D54" s="35"/>
      <c r="E54" s="41"/>
      <c r="F54" s="56"/>
    </row>
    <row r="55" spans="1:6" ht="15.75">
      <c r="A55" s="39" t="s">
        <v>516</v>
      </c>
      <c r="B55" s="41">
        <v>100000</v>
      </c>
      <c r="C55" s="41"/>
      <c r="D55" s="41"/>
      <c r="E55" s="41"/>
      <c r="F55" s="56"/>
    </row>
    <row r="56" spans="1:6" ht="15.75">
      <c r="A56" s="39" t="s">
        <v>127</v>
      </c>
      <c r="B56" s="41">
        <v>40000</v>
      </c>
      <c r="C56" s="41">
        <v>40000</v>
      </c>
      <c r="D56" s="41"/>
      <c r="E56" s="41"/>
      <c r="F56" s="56"/>
    </row>
    <row r="57" spans="1:6" ht="15.75">
      <c r="A57" s="39" t="s">
        <v>517</v>
      </c>
      <c r="B57" s="41">
        <v>225000</v>
      </c>
      <c r="C57" s="41">
        <v>150000</v>
      </c>
      <c r="D57" s="41"/>
      <c r="E57" s="41"/>
      <c r="F57" s="56"/>
    </row>
    <row r="58" spans="1:6" ht="15.75">
      <c r="A58" s="39" t="s">
        <v>518</v>
      </c>
      <c r="B58" s="41">
        <v>300000</v>
      </c>
      <c r="C58" s="41"/>
      <c r="D58" s="41"/>
      <c r="E58" s="41"/>
      <c r="F58" s="56"/>
    </row>
    <row r="59" spans="1:6" ht="15.75">
      <c r="A59" s="39"/>
      <c r="B59" s="41"/>
      <c r="C59" s="41"/>
      <c r="D59" s="41"/>
      <c r="E59" s="41"/>
      <c r="F59" s="56"/>
    </row>
    <row r="60" spans="1:6" ht="15.75">
      <c r="A60" s="39" t="s">
        <v>519</v>
      </c>
      <c r="B60" s="41">
        <v>500000</v>
      </c>
      <c r="C60" s="41">
        <v>3200000</v>
      </c>
      <c r="D60" s="41"/>
      <c r="E60" s="41"/>
      <c r="F60" s="56"/>
    </row>
    <row r="61" spans="1:6" ht="15.75">
      <c r="A61" s="39" t="s">
        <v>520</v>
      </c>
      <c r="B61" s="41">
        <v>350000</v>
      </c>
      <c r="C61" s="41"/>
      <c r="D61" s="41"/>
      <c r="E61" s="41"/>
      <c r="F61" s="56"/>
    </row>
    <row r="62" spans="1:6" ht="15.75">
      <c r="A62" s="39" t="s">
        <v>521</v>
      </c>
      <c r="B62" s="41">
        <v>5000</v>
      </c>
      <c r="C62" s="41"/>
      <c r="D62" s="41"/>
      <c r="E62" s="41"/>
      <c r="F62" s="56"/>
    </row>
    <row r="63" spans="1:6" ht="15.75">
      <c r="A63" s="39" t="s">
        <v>481</v>
      </c>
      <c r="B63" s="41"/>
      <c r="C63" s="41">
        <v>200000</v>
      </c>
      <c r="D63" s="41"/>
      <c r="E63" s="41"/>
      <c r="F63" s="56"/>
    </row>
    <row r="64" spans="1:6" ht="15.75">
      <c r="A64" s="39" t="s">
        <v>522</v>
      </c>
      <c r="B64" s="41">
        <v>125000</v>
      </c>
      <c r="C64" s="41">
        <v>125000</v>
      </c>
      <c r="D64" s="35"/>
      <c r="E64" s="41"/>
      <c r="F64" s="56"/>
    </row>
    <row r="65" spans="1:6" ht="15.75">
      <c r="A65" s="39" t="s">
        <v>523</v>
      </c>
      <c r="B65" s="41">
        <v>550000</v>
      </c>
      <c r="C65" s="41"/>
      <c r="D65" s="41"/>
      <c r="E65" s="41"/>
      <c r="F65" s="56"/>
    </row>
    <row r="66" spans="1:6" ht="15.75">
      <c r="A66" s="39" t="s">
        <v>524</v>
      </c>
      <c r="B66" s="41">
        <v>200000</v>
      </c>
      <c r="C66" s="66">
        <v>50000</v>
      </c>
      <c r="D66" s="41"/>
      <c r="E66" s="41"/>
      <c r="F66" s="56"/>
    </row>
    <row r="67" spans="1:6" ht="15.75">
      <c r="A67" s="39"/>
      <c r="B67" s="41"/>
      <c r="C67" s="41"/>
      <c r="D67" s="41"/>
      <c r="E67" s="41"/>
      <c r="F67" s="56"/>
    </row>
    <row r="68" spans="1:6" ht="15.75">
      <c r="A68" s="39" t="s">
        <v>525</v>
      </c>
      <c r="B68" s="41"/>
      <c r="C68" s="41"/>
      <c r="D68" s="41"/>
      <c r="E68" s="41"/>
      <c r="F68" s="56"/>
    </row>
    <row r="69" spans="1:6" ht="15.75">
      <c r="A69" s="39"/>
      <c r="B69" s="41"/>
      <c r="C69" s="41"/>
      <c r="D69" s="41"/>
      <c r="E69" s="41"/>
      <c r="F69" s="56"/>
    </row>
    <row r="70" spans="1:6" ht="15.75">
      <c r="A70" s="39" t="s">
        <v>526</v>
      </c>
      <c r="B70" s="41">
        <v>200000</v>
      </c>
      <c r="C70" s="41"/>
      <c r="D70" s="41"/>
      <c r="E70" s="41"/>
      <c r="F70" s="56"/>
    </row>
    <row r="71" spans="1:6" ht="15.75">
      <c r="A71" s="39" t="s">
        <v>527</v>
      </c>
      <c r="B71" s="41">
        <v>0</v>
      </c>
      <c r="C71" s="41">
        <v>0</v>
      </c>
      <c r="D71" s="41">
        <v>87900</v>
      </c>
      <c r="E71" s="41">
        <v>0</v>
      </c>
      <c r="F71" s="56"/>
    </row>
    <row r="72" spans="1:6" ht="15.75">
      <c r="A72" s="39" t="s">
        <v>528</v>
      </c>
      <c r="B72" s="41">
        <v>275570</v>
      </c>
      <c r="C72" s="41">
        <v>313420</v>
      </c>
      <c r="D72" s="41">
        <v>288200</v>
      </c>
      <c r="E72" s="41">
        <v>413320</v>
      </c>
      <c r="F72" s="56"/>
    </row>
    <row r="73" spans="1:6" ht="15.75">
      <c r="A73" s="39" t="s">
        <v>529</v>
      </c>
      <c r="B73" s="41">
        <v>58500</v>
      </c>
      <c r="C73" s="41">
        <v>0</v>
      </c>
      <c r="D73" s="41">
        <v>28070</v>
      </c>
      <c r="E73" s="41">
        <v>12120</v>
      </c>
      <c r="F73" s="56"/>
    </row>
    <row r="74" spans="1:6" ht="15.75">
      <c r="A74" s="39" t="s">
        <v>530</v>
      </c>
      <c r="B74" s="41">
        <v>150000</v>
      </c>
      <c r="C74" s="41">
        <v>150000</v>
      </c>
      <c r="D74" s="41">
        <v>75000</v>
      </c>
      <c r="E74" s="41">
        <v>0</v>
      </c>
      <c r="F74" s="56"/>
    </row>
    <row r="75" spans="1:6" ht="15.75">
      <c r="A75" s="39" t="s">
        <v>531</v>
      </c>
      <c r="B75" s="41">
        <v>230000</v>
      </c>
      <c r="C75" s="41">
        <v>80000</v>
      </c>
      <c r="D75" s="41">
        <v>60000</v>
      </c>
      <c r="E75" s="41">
        <v>50000</v>
      </c>
      <c r="F75" s="56"/>
    </row>
    <row r="76" spans="1:6" ht="15.75">
      <c r="A76" s="39" t="s">
        <v>532</v>
      </c>
      <c r="B76" s="41">
        <v>150000</v>
      </c>
      <c r="C76" s="41">
        <v>0</v>
      </c>
      <c r="D76" s="41">
        <v>210600</v>
      </c>
      <c r="E76" s="41">
        <v>25500</v>
      </c>
      <c r="F76" s="56"/>
    </row>
    <row r="77" spans="1:6" ht="15.75">
      <c r="A77" s="39" t="s">
        <v>533</v>
      </c>
      <c r="B77" s="41">
        <v>103400</v>
      </c>
      <c r="C77" s="41">
        <v>0</v>
      </c>
      <c r="D77" s="41">
        <v>33800</v>
      </c>
      <c r="E77" s="41">
        <v>17400</v>
      </c>
      <c r="F77" s="56"/>
    </row>
    <row r="78" spans="1:6" ht="15.75">
      <c r="A78" s="39" t="s">
        <v>534</v>
      </c>
      <c r="B78" s="41">
        <v>70000</v>
      </c>
      <c r="C78" s="41">
        <v>10000</v>
      </c>
      <c r="D78" s="41">
        <v>24000</v>
      </c>
      <c r="E78" s="41">
        <v>0</v>
      </c>
      <c r="F78" s="56"/>
    </row>
    <row r="79" spans="1:6" ht="15.75">
      <c r="A79" s="39" t="s">
        <v>535</v>
      </c>
      <c r="B79" s="41">
        <v>203000</v>
      </c>
      <c r="C79" s="41">
        <v>0</v>
      </c>
      <c r="D79" s="41">
        <v>77800</v>
      </c>
      <c r="E79" s="41">
        <v>0</v>
      </c>
      <c r="F79" s="56"/>
    </row>
    <row r="80" spans="1:6" ht="15.75">
      <c r="A80" s="39" t="s">
        <v>536</v>
      </c>
      <c r="B80" s="41">
        <v>47200</v>
      </c>
      <c r="C80" s="41">
        <v>38600</v>
      </c>
      <c r="D80" s="41">
        <v>80700</v>
      </c>
      <c r="E80" s="41">
        <v>257100</v>
      </c>
      <c r="F80" s="56"/>
    </row>
    <row r="81" spans="1:6" ht="15.75">
      <c r="A81" s="39" t="s">
        <v>537</v>
      </c>
      <c r="B81" s="41">
        <v>56220</v>
      </c>
      <c r="C81" s="41">
        <v>0</v>
      </c>
      <c r="D81" s="41">
        <v>0</v>
      </c>
      <c r="E81" s="41">
        <v>0</v>
      </c>
      <c r="F81" s="56"/>
    </row>
    <row r="82" spans="1:6" ht="15.75">
      <c r="A82" s="39" t="s">
        <v>538</v>
      </c>
      <c r="B82" s="41">
        <v>3000</v>
      </c>
      <c r="C82" s="41">
        <v>13700</v>
      </c>
      <c r="D82" s="41">
        <v>34450</v>
      </c>
      <c r="E82" s="41">
        <v>10200</v>
      </c>
      <c r="F82" s="56"/>
    </row>
    <row r="83" spans="1:6" ht="15.75">
      <c r="A83" s="39" t="s">
        <v>539</v>
      </c>
      <c r="B83" s="41">
        <v>8110</v>
      </c>
      <c r="C83" s="41">
        <v>0</v>
      </c>
      <c r="D83" s="41">
        <v>10720</v>
      </c>
      <c r="E83" s="41">
        <v>0</v>
      </c>
      <c r="F83" s="56"/>
    </row>
    <row r="84" spans="1:6" ht="15.75">
      <c r="A84" s="39" t="s">
        <v>540</v>
      </c>
      <c r="B84" s="41">
        <v>40000</v>
      </c>
      <c r="C84" s="41">
        <v>0</v>
      </c>
      <c r="D84" s="41">
        <v>18760</v>
      </c>
      <c r="E84" s="41">
        <v>0</v>
      </c>
      <c r="F84" s="56"/>
    </row>
    <row r="85" spans="1:6" ht="15.75">
      <c r="A85" s="39" t="s">
        <v>541</v>
      </c>
      <c r="B85" s="41">
        <v>470000</v>
      </c>
      <c r="C85" s="41">
        <v>805000</v>
      </c>
      <c r="D85" s="41">
        <v>75000</v>
      </c>
      <c r="E85" s="41">
        <v>0</v>
      </c>
      <c r="F85" s="56"/>
    </row>
    <row r="86" spans="1:6" ht="15.75">
      <c r="A86" s="39" t="s">
        <v>542</v>
      </c>
      <c r="B86" s="41">
        <v>0</v>
      </c>
      <c r="C86" s="41">
        <v>9200</v>
      </c>
      <c r="D86" s="41">
        <v>0</v>
      </c>
      <c r="E86" s="41">
        <v>0</v>
      </c>
      <c r="F86" s="56"/>
    </row>
    <row r="87" spans="1:6" ht="15.75">
      <c r="A87" s="39" t="s">
        <v>543</v>
      </c>
      <c r="B87" s="41">
        <v>15000</v>
      </c>
      <c r="C87" s="41">
        <v>0</v>
      </c>
      <c r="D87" s="41">
        <v>0</v>
      </c>
      <c r="E87" s="41">
        <v>14360</v>
      </c>
      <c r="F87" s="56"/>
    </row>
    <row r="88" spans="1:6" ht="15.75">
      <c r="A88" s="39" t="s">
        <v>524</v>
      </c>
      <c r="B88" s="41">
        <v>120000</v>
      </c>
      <c r="C88" s="41">
        <v>280000</v>
      </c>
      <c r="D88" s="41">
        <v>55000</v>
      </c>
      <c r="E88" s="41">
        <v>50000</v>
      </c>
      <c r="F88" s="56"/>
    </row>
    <row r="89" spans="1:6" ht="15.75">
      <c r="A89" s="39"/>
      <c r="B89" s="41"/>
      <c r="C89" s="41"/>
      <c r="D89" s="41"/>
      <c r="E89" s="41"/>
      <c r="F89" s="56"/>
    </row>
    <row r="90" spans="1:6" ht="15.75">
      <c r="A90" s="42" t="s">
        <v>544</v>
      </c>
      <c r="B90" s="43">
        <v>7603921</v>
      </c>
      <c r="C90" s="43">
        <v>5530920</v>
      </c>
      <c r="D90" s="43">
        <v>1160000</v>
      </c>
      <c r="E90" s="43">
        <v>850000</v>
      </c>
      <c r="F90" s="57">
        <v>0</v>
      </c>
    </row>
    <row r="91" spans="1:6" ht="15.75">
      <c r="A91" s="39"/>
      <c r="B91" s="41"/>
      <c r="C91" s="41"/>
      <c r="D91" s="41"/>
      <c r="E91" s="41"/>
      <c r="F91" s="56"/>
    </row>
    <row r="92" spans="1:6" ht="15.75">
      <c r="A92" s="39" t="s">
        <v>545</v>
      </c>
      <c r="B92" s="41">
        <v>150000</v>
      </c>
      <c r="C92" s="41"/>
      <c r="D92" s="41"/>
      <c r="E92" s="41"/>
      <c r="F92" s="56"/>
    </row>
    <row r="93" spans="1:6" ht="15.75">
      <c r="A93" s="39"/>
      <c r="B93" s="41"/>
      <c r="C93" s="41"/>
      <c r="D93" s="41"/>
      <c r="E93" s="41"/>
      <c r="F93" s="56"/>
    </row>
    <row r="94" spans="1:6" ht="15.75">
      <c r="A94" s="42" t="s">
        <v>546</v>
      </c>
      <c r="B94" s="43">
        <v>150000</v>
      </c>
      <c r="C94" s="43">
        <v>0</v>
      </c>
      <c r="D94" s="43">
        <v>0</v>
      </c>
      <c r="E94" s="43">
        <v>0</v>
      </c>
      <c r="F94" s="57">
        <v>0</v>
      </c>
    </row>
    <row r="95" spans="1:6" ht="15.75">
      <c r="A95" s="39"/>
      <c r="B95" s="41"/>
      <c r="C95" s="41"/>
      <c r="D95" s="41"/>
      <c r="E95" s="41"/>
      <c r="F95" s="56"/>
    </row>
    <row r="96" spans="1:6" ht="15.75">
      <c r="A96" s="39" t="s">
        <v>154</v>
      </c>
      <c r="B96" s="41">
        <v>92587</v>
      </c>
      <c r="C96" s="41"/>
      <c r="D96" s="41"/>
      <c r="E96" s="41"/>
      <c r="F96" s="56"/>
    </row>
    <row r="97" spans="1:6" ht="15.75">
      <c r="A97" s="39" t="s">
        <v>547</v>
      </c>
      <c r="B97" s="41">
        <v>7560254</v>
      </c>
      <c r="C97" s="41"/>
      <c r="D97" s="41"/>
      <c r="E97" s="41"/>
      <c r="F97" s="56"/>
    </row>
    <row r="98" spans="1:6" ht="15.75">
      <c r="A98" s="39" t="s">
        <v>161</v>
      </c>
      <c r="B98" s="41">
        <v>400000</v>
      </c>
      <c r="C98" s="41"/>
      <c r="D98" s="41"/>
      <c r="E98" s="41"/>
      <c r="F98" s="56"/>
    </row>
    <row r="99" spans="1:6" ht="15.75">
      <c r="A99" s="39" t="s">
        <v>167</v>
      </c>
      <c r="B99" s="41">
        <v>820000</v>
      </c>
      <c r="C99" s="41">
        <v>200000</v>
      </c>
      <c r="D99" s="41"/>
      <c r="E99" s="41"/>
      <c r="F99" s="56"/>
    </row>
    <row r="100" spans="1:6" ht="15.75">
      <c r="A100" s="39" t="s">
        <v>165</v>
      </c>
      <c r="B100" s="41">
        <v>62000</v>
      </c>
      <c r="C100" s="41"/>
      <c r="D100" s="41"/>
      <c r="E100" s="41"/>
      <c r="F100" s="56"/>
    </row>
    <row r="101" spans="1:6" ht="15.75">
      <c r="A101" s="39" t="s">
        <v>171</v>
      </c>
      <c r="B101" s="41">
        <v>60000</v>
      </c>
      <c r="C101" s="41">
        <v>54000</v>
      </c>
      <c r="D101" s="41">
        <v>60000</v>
      </c>
      <c r="E101" s="41"/>
      <c r="F101" s="56"/>
    </row>
    <row r="102" spans="1:6" ht="15.75">
      <c r="A102" s="39" t="s">
        <v>548</v>
      </c>
      <c r="B102" s="41">
        <v>48000</v>
      </c>
      <c r="C102" s="41">
        <v>48000</v>
      </c>
      <c r="D102" s="41">
        <v>48000</v>
      </c>
      <c r="E102" s="41"/>
      <c r="F102" s="56"/>
    </row>
    <row r="103" spans="1:6" ht="15.75">
      <c r="A103" s="39" t="s">
        <v>175</v>
      </c>
      <c r="B103" s="41">
        <v>13000</v>
      </c>
      <c r="C103" s="67">
        <v>12000</v>
      </c>
      <c r="D103" s="67">
        <v>12000</v>
      </c>
      <c r="E103" s="41"/>
      <c r="F103" s="56"/>
    </row>
    <row r="104" spans="1:6" ht="15.75">
      <c r="A104" s="39"/>
      <c r="B104" s="41"/>
      <c r="C104" s="41"/>
      <c r="D104" s="41"/>
      <c r="E104" s="41"/>
      <c r="F104" s="56"/>
    </row>
    <row r="105" spans="1:6" ht="15.75">
      <c r="A105" s="39" t="s">
        <v>549</v>
      </c>
      <c r="B105" s="41">
        <v>1000000</v>
      </c>
      <c r="C105" s="35"/>
      <c r="D105" s="41"/>
      <c r="E105" s="41"/>
      <c r="F105" s="56"/>
    </row>
    <row r="106" spans="1:6" ht="15.75">
      <c r="A106" s="39" t="s">
        <v>550</v>
      </c>
      <c r="B106" s="41">
        <v>100000</v>
      </c>
      <c r="C106" s="41">
        <v>100000</v>
      </c>
      <c r="D106" s="41">
        <v>50000</v>
      </c>
      <c r="E106" s="41">
        <v>50000</v>
      </c>
      <c r="F106" s="56">
        <v>50000</v>
      </c>
    </row>
    <row r="107" spans="1:6" ht="15.75">
      <c r="A107" s="39" t="s">
        <v>551</v>
      </c>
      <c r="B107" s="41">
        <v>70000</v>
      </c>
      <c r="C107" s="41"/>
      <c r="D107" s="41"/>
      <c r="E107" s="41"/>
      <c r="F107" s="56"/>
    </row>
    <row r="108" spans="1:6" ht="15.75">
      <c r="A108" s="39" t="s">
        <v>552</v>
      </c>
      <c r="B108" s="41">
        <v>10000</v>
      </c>
      <c r="C108" s="41"/>
      <c r="D108" s="41"/>
      <c r="E108" s="41"/>
      <c r="F108" s="56"/>
    </row>
    <row r="109" spans="1:6" ht="15.75">
      <c r="A109" s="39" t="s">
        <v>553</v>
      </c>
      <c r="B109" s="41"/>
      <c r="C109" s="41"/>
      <c r="D109" s="41">
        <v>28000</v>
      </c>
      <c r="E109" s="41"/>
      <c r="F109" s="56"/>
    </row>
    <row r="110" spans="1:6" ht="15.75">
      <c r="A110" s="39" t="s">
        <v>554</v>
      </c>
      <c r="B110" s="41"/>
      <c r="C110" s="41"/>
      <c r="D110" s="41">
        <v>50000</v>
      </c>
      <c r="E110" s="41">
        <v>450000</v>
      </c>
      <c r="F110" s="56"/>
    </row>
    <row r="111" spans="1:6" ht="15.75">
      <c r="A111" s="39" t="s">
        <v>555</v>
      </c>
      <c r="B111" s="41"/>
      <c r="C111" s="41">
        <v>12000</v>
      </c>
      <c r="D111" s="41">
        <v>12000</v>
      </c>
      <c r="E111" s="41">
        <v>12000</v>
      </c>
      <c r="F111" s="56"/>
    </row>
    <row r="112" spans="1:6" ht="15.75">
      <c r="A112" s="39" t="s">
        <v>556</v>
      </c>
      <c r="B112" s="41">
        <v>200000</v>
      </c>
      <c r="C112" s="41"/>
      <c r="D112" s="41"/>
      <c r="E112" s="41"/>
      <c r="F112" s="56"/>
    </row>
    <row r="113" spans="1:6" ht="15.75">
      <c r="A113" s="39"/>
      <c r="B113" s="41"/>
      <c r="C113" s="41"/>
      <c r="D113" s="41"/>
      <c r="E113" s="41"/>
      <c r="F113" s="56"/>
    </row>
    <row r="114" spans="1:6" ht="15.75">
      <c r="A114" s="42" t="s">
        <v>557</v>
      </c>
      <c r="B114" s="43">
        <v>10435841</v>
      </c>
      <c r="C114" s="43">
        <v>426000</v>
      </c>
      <c r="D114" s="43">
        <v>260000</v>
      </c>
      <c r="E114" s="43">
        <v>512000</v>
      </c>
      <c r="F114" s="57">
        <v>50000</v>
      </c>
    </row>
    <row r="115" spans="1:6" ht="15.75">
      <c r="A115" s="39"/>
      <c r="B115" s="41"/>
      <c r="C115" s="41"/>
      <c r="D115" s="41"/>
      <c r="E115" s="41"/>
      <c r="F115" s="56"/>
    </row>
    <row r="116" spans="1:6" ht="15.75">
      <c r="A116" s="39" t="s">
        <v>558</v>
      </c>
      <c r="B116" s="41">
        <v>135000</v>
      </c>
      <c r="C116" s="41"/>
      <c r="D116" s="41"/>
      <c r="E116" s="41"/>
      <c r="F116" s="56"/>
    </row>
    <row r="117" spans="1:6" ht="15.75">
      <c r="A117" s="39" t="s">
        <v>559</v>
      </c>
      <c r="B117" s="41">
        <v>2562700</v>
      </c>
      <c r="C117" s="41">
        <v>2200250</v>
      </c>
      <c r="D117" s="41">
        <v>1799000</v>
      </c>
      <c r="E117" s="41">
        <v>453000</v>
      </c>
      <c r="F117" s="56">
        <v>500000</v>
      </c>
    </row>
    <row r="118" spans="1:6" ht="15.75">
      <c r="A118" s="39" t="s">
        <v>194</v>
      </c>
      <c r="B118" s="41">
        <v>180000</v>
      </c>
      <c r="C118" s="41">
        <v>80000</v>
      </c>
      <c r="D118" s="41"/>
      <c r="E118" s="41"/>
      <c r="F118" s="56"/>
    </row>
    <row r="119" spans="1:6" ht="15.75">
      <c r="A119" s="39" t="s">
        <v>560</v>
      </c>
      <c r="B119" s="41">
        <v>80000</v>
      </c>
      <c r="C119" s="41">
        <v>350000</v>
      </c>
      <c r="D119" s="41">
        <v>350000</v>
      </c>
      <c r="E119" s="41">
        <v>350000</v>
      </c>
      <c r="F119" s="56">
        <v>350000</v>
      </c>
    </row>
    <row r="120" spans="1:6" ht="15.75">
      <c r="A120" s="39" t="s">
        <v>561</v>
      </c>
      <c r="B120" s="41">
        <v>100000</v>
      </c>
      <c r="C120" s="41"/>
      <c r="D120" s="41"/>
      <c r="E120" s="41"/>
      <c r="F120" s="56"/>
    </row>
    <row r="121" spans="1:6" ht="15.75">
      <c r="A121" s="39"/>
      <c r="B121" s="41"/>
      <c r="C121" s="41"/>
      <c r="D121" s="41"/>
      <c r="E121" s="41"/>
      <c r="F121" s="56"/>
    </row>
    <row r="122" spans="1:6" ht="15.75">
      <c r="A122" s="42" t="s">
        <v>562</v>
      </c>
      <c r="B122" s="43">
        <v>3057700</v>
      </c>
      <c r="C122" s="43">
        <v>2630250</v>
      </c>
      <c r="D122" s="43">
        <v>2149000</v>
      </c>
      <c r="E122" s="43">
        <v>803000</v>
      </c>
      <c r="F122" s="57">
        <v>850000</v>
      </c>
    </row>
    <row r="123" spans="1:6" ht="15.75">
      <c r="A123" s="44"/>
      <c r="B123" s="45"/>
      <c r="C123" s="45"/>
      <c r="D123" s="45"/>
      <c r="E123" s="45"/>
      <c r="F123" s="59"/>
    </row>
    <row r="124" spans="1:6" ht="15.75">
      <c r="A124" s="39" t="s">
        <v>204</v>
      </c>
      <c r="B124" s="41">
        <v>200000</v>
      </c>
      <c r="C124" s="41">
        <v>100000</v>
      </c>
      <c r="D124" s="41">
        <v>150000</v>
      </c>
      <c r="E124" s="41">
        <v>150000</v>
      </c>
      <c r="F124" s="56">
        <v>150000</v>
      </c>
    </row>
    <row r="125" spans="1:6" ht="15.75">
      <c r="A125" s="39" t="s">
        <v>208</v>
      </c>
      <c r="B125" s="41">
        <v>188574</v>
      </c>
      <c r="C125" s="41">
        <v>177000</v>
      </c>
      <c r="D125" s="41">
        <v>177000</v>
      </c>
      <c r="E125" s="41">
        <v>177000</v>
      </c>
      <c r="F125" s="56">
        <v>177000</v>
      </c>
    </row>
    <row r="126" spans="1:6" ht="15.75">
      <c r="A126" s="39" t="s">
        <v>563</v>
      </c>
      <c r="B126" s="41">
        <v>98000</v>
      </c>
      <c r="C126" s="41"/>
      <c r="D126" s="41"/>
      <c r="E126" s="41"/>
      <c r="F126" s="56"/>
    </row>
    <row r="127" spans="1:6" ht="15.75">
      <c r="A127" s="39" t="s">
        <v>564</v>
      </c>
      <c r="B127" s="41">
        <v>25000</v>
      </c>
      <c r="C127" s="41"/>
      <c r="D127" s="41"/>
      <c r="E127" s="41"/>
      <c r="F127" s="56"/>
    </row>
    <row r="128" spans="1:6" ht="15.75">
      <c r="A128" s="39" t="s">
        <v>565</v>
      </c>
      <c r="B128" s="41">
        <v>25000</v>
      </c>
      <c r="C128" s="41"/>
      <c r="D128" s="41"/>
      <c r="E128" s="41"/>
      <c r="F128" s="56"/>
    </row>
    <row r="129" spans="1:6" ht="15.75">
      <c r="A129" s="39" t="s">
        <v>566</v>
      </c>
      <c r="B129" s="41">
        <v>25000</v>
      </c>
      <c r="C129" s="41"/>
      <c r="D129" s="41"/>
      <c r="E129" s="41"/>
      <c r="F129" s="56"/>
    </row>
    <row r="130" spans="1:6" ht="15.75">
      <c r="A130" s="39" t="s">
        <v>567</v>
      </c>
      <c r="B130" s="41">
        <v>15000</v>
      </c>
      <c r="C130" s="41"/>
      <c r="D130" s="41"/>
      <c r="E130" s="41"/>
      <c r="F130" s="56"/>
    </row>
    <row r="131" spans="1:6" ht="15.75">
      <c r="A131" s="39" t="s">
        <v>568</v>
      </c>
      <c r="B131" s="41">
        <v>15000</v>
      </c>
      <c r="C131" s="41"/>
      <c r="D131" s="41"/>
      <c r="E131" s="41"/>
      <c r="F131" s="56"/>
    </row>
    <row r="132" spans="1:6" ht="15.75">
      <c r="A132" s="39"/>
      <c r="B132" s="41"/>
      <c r="C132" s="41"/>
      <c r="D132" s="41"/>
      <c r="E132" s="41"/>
      <c r="F132" s="56"/>
    </row>
    <row r="133" spans="1:6" ht="15.75">
      <c r="A133" s="42" t="s">
        <v>569</v>
      </c>
      <c r="B133" s="43">
        <v>591574</v>
      </c>
      <c r="C133" s="43">
        <v>277000</v>
      </c>
      <c r="D133" s="43">
        <v>327000</v>
      </c>
      <c r="E133" s="43">
        <v>327000</v>
      </c>
      <c r="F133" s="57">
        <v>327000</v>
      </c>
    </row>
    <row r="134" spans="1:6" ht="16.5" thickBot="1">
      <c r="A134" s="46" t="s">
        <v>570</v>
      </c>
      <c r="B134" s="47">
        <v>24347006</v>
      </c>
      <c r="C134" s="47">
        <v>9906000</v>
      </c>
      <c r="D134" s="47">
        <v>4636000</v>
      </c>
      <c r="E134" s="47">
        <v>3182000</v>
      </c>
      <c r="F134" s="60">
        <v>1917000</v>
      </c>
    </row>
    <row r="135" spans="1:6" ht="16.5" thickTop="1">
      <c r="A135" s="44"/>
      <c r="B135" s="44"/>
      <c r="C135" s="44"/>
      <c r="D135" s="44"/>
      <c r="E135" s="44"/>
      <c r="F135" s="61"/>
    </row>
    <row r="136" spans="1:6" ht="15.75">
      <c r="A136" s="44" t="s">
        <v>571</v>
      </c>
      <c r="B136" s="44"/>
      <c r="C136" s="44"/>
      <c r="D136" s="44"/>
      <c r="E136" s="44"/>
      <c r="F136" s="62" t="s">
        <v>5</v>
      </c>
    </row>
    <row r="137" spans="1:6" ht="15.75">
      <c r="A137" s="48"/>
      <c r="B137" s="52" t="s">
        <v>5</v>
      </c>
      <c r="C137" s="52" t="s">
        <v>5</v>
      </c>
      <c r="D137" s="52" t="s">
        <v>5</v>
      </c>
      <c r="E137" s="52" t="s">
        <v>5</v>
      </c>
      <c r="F137" s="59"/>
    </row>
    <row r="138" spans="1:6" ht="15.75">
      <c r="A138" s="36"/>
      <c r="B138" s="45"/>
      <c r="C138" s="45"/>
      <c r="D138" s="45"/>
      <c r="E138" s="45"/>
      <c r="F138" s="56">
        <v>1500000</v>
      </c>
    </row>
    <row r="139" spans="1:6" ht="15.75">
      <c r="A139" s="48" t="s">
        <v>572</v>
      </c>
      <c r="B139" s="41">
        <v>500000</v>
      </c>
      <c r="C139" s="41">
        <v>1500000</v>
      </c>
      <c r="D139" s="41">
        <v>1500000</v>
      </c>
      <c r="E139" s="41">
        <v>1500000</v>
      </c>
      <c r="F139" s="56">
        <v>210000</v>
      </c>
    </row>
    <row r="140" spans="1:6" ht="15.75">
      <c r="A140" s="48" t="s">
        <v>217</v>
      </c>
      <c r="B140" s="41">
        <v>210000</v>
      </c>
      <c r="C140" s="41">
        <v>210000</v>
      </c>
      <c r="D140" s="41">
        <v>210000</v>
      </c>
      <c r="E140" s="41">
        <v>210000</v>
      </c>
      <c r="F140" s="56">
        <v>200000</v>
      </c>
    </row>
    <row r="141" spans="1:6" ht="15.75">
      <c r="A141" s="48" t="s">
        <v>219</v>
      </c>
      <c r="B141" s="41">
        <v>200000</v>
      </c>
      <c r="C141" s="41">
        <v>200000</v>
      </c>
      <c r="D141" s="41">
        <v>200000</v>
      </c>
      <c r="E141" s="41">
        <v>200000</v>
      </c>
      <c r="F141" s="56">
        <v>250000</v>
      </c>
    </row>
    <row r="142" spans="1:6" ht="15.75">
      <c r="A142" s="48" t="s">
        <v>221</v>
      </c>
      <c r="B142" s="41">
        <v>250000</v>
      </c>
      <c r="C142" s="41">
        <v>250000</v>
      </c>
      <c r="D142" s="41">
        <v>250000</v>
      </c>
      <c r="E142" s="41">
        <v>250000</v>
      </c>
      <c r="F142" s="56">
        <v>19000</v>
      </c>
    </row>
    <row r="143" spans="1:6" ht="15.75">
      <c r="A143" s="48" t="s">
        <v>225</v>
      </c>
      <c r="B143" s="41">
        <v>19000</v>
      </c>
      <c r="C143" s="41">
        <v>19000</v>
      </c>
      <c r="D143" s="41">
        <v>19000</v>
      </c>
      <c r="E143" s="41">
        <v>19000</v>
      </c>
      <c r="F143" s="56"/>
    </row>
    <row r="144" spans="1:6" ht="15.75">
      <c r="A144" s="48" t="s">
        <v>227</v>
      </c>
      <c r="B144" s="41">
        <v>250000</v>
      </c>
      <c r="C144" s="41">
        <v>250000</v>
      </c>
      <c r="D144" s="41">
        <v>250000</v>
      </c>
      <c r="E144" s="41">
        <v>250000</v>
      </c>
      <c r="F144" s="56">
        <v>250000</v>
      </c>
    </row>
    <row r="145" spans="1:6" ht="15.75">
      <c r="A145" s="48" t="s">
        <v>229</v>
      </c>
      <c r="B145" s="41">
        <v>90000</v>
      </c>
      <c r="C145" s="41">
        <v>90000</v>
      </c>
      <c r="D145" s="41">
        <v>90000</v>
      </c>
      <c r="E145" s="41">
        <v>90000</v>
      </c>
      <c r="F145" s="56">
        <v>90000</v>
      </c>
    </row>
    <row r="146" spans="1:6" ht="15.75">
      <c r="A146" s="48" t="s">
        <v>231</v>
      </c>
      <c r="B146" s="41">
        <v>150000</v>
      </c>
      <c r="C146" s="41">
        <v>150000</v>
      </c>
      <c r="D146" s="41">
        <v>150000</v>
      </c>
      <c r="E146" s="41">
        <v>150000</v>
      </c>
      <c r="F146" s="56">
        <v>150000</v>
      </c>
    </row>
    <row r="147" spans="1:6" ht="15.75">
      <c r="A147" s="48" t="s">
        <v>233</v>
      </c>
      <c r="B147" s="41">
        <v>125000</v>
      </c>
      <c r="C147" s="41">
        <v>125000</v>
      </c>
      <c r="D147" s="41">
        <v>125000</v>
      </c>
      <c r="E147" s="41">
        <v>125000</v>
      </c>
      <c r="F147" s="56">
        <v>125000</v>
      </c>
    </row>
    <row r="148" spans="1:6" ht="15.75">
      <c r="A148" s="48" t="s">
        <v>241</v>
      </c>
      <c r="B148" s="41">
        <v>117000</v>
      </c>
      <c r="C148" s="41">
        <v>117000</v>
      </c>
      <c r="D148" s="41">
        <v>117000</v>
      </c>
      <c r="E148" s="41">
        <v>117000</v>
      </c>
      <c r="F148" s="56">
        <v>117000</v>
      </c>
    </row>
    <row r="149" spans="1:6" ht="15.75">
      <c r="A149" s="48" t="s">
        <v>243</v>
      </c>
      <c r="B149" s="41">
        <v>150000</v>
      </c>
      <c r="C149" s="41">
        <v>150000</v>
      </c>
      <c r="D149" s="41">
        <v>150000</v>
      </c>
      <c r="E149" s="41">
        <v>150000</v>
      </c>
      <c r="F149" s="56">
        <v>150000</v>
      </c>
    </row>
    <row r="150" spans="1:6" ht="15.75">
      <c r="A150" s="48" t="s">
        <v>245</v>
      </c>
      <c r="B150" s="41">
        <v>100000</v>
      </c>
      <c r="C150" s="41">
        <v>100000</v>
      </c>
      <c r="D150" s="41">
        <v>100000</v>
      </c>
      <c r="E150" s="41">
        <v>100000</v>
      </c>
      <c r="F150" s="56">
        <v>100000</v>
      </c>
    </row>
    <row r="151" spans="1:6" ht="15.75">
      <c r="A151" s="49" t="s">
        <v>257</v>
      </c>
      <c r="B151" s="66">
        <v>900000</v>
      </c>
      <c r="C151" s="50">
        <v>900000</v>
      </c>
      <c r="D151" s="50">
        <v>900000</v>
      </c>
      <c r="E151" s="50">
        <v>900000</v>
      </c>
      <c r="F151" s="64">
        <v>900000</v>
      </c>
    </row>
    <row r="152" spans="1:6" ht="15.75">
      <c r="A152" s="49" t="s">
        <v>259</v>
      </c>
      <c r="B152" s="66">
        <v>2073000</v>
      </c>
      <c r="C152" s="50">
        <v>2073000</v>
      </c>
      <c r="D152" s="50">
        <v>1892000</v>
      </c>
      <c r="E152" s="50">
        <v>1743000</v>
      </c>
      <c r="F152" s="64">
        <v>1594000</v>
      </c>
    </row>
    <row r="153" spans="1:6" ht="15.75">
      <c r="A153" s="49" t="s">
        <v>261</v>
      </c>
      <c r="B153" s="66">
        <v>1221000</v>
      </c>
      <c r="C153" s="50">
        <v>1221000</v>
      </c>
      <c r="D153" s="50">
        <v>1187000</v>
      </c>
      <c r="E153" s="50">
        <v>1221000</v>
      </c>
      <c r="F153" s="64">
        <v>1187000</v>
      </c>
    </row>
    <row r="154" spans="1:6" ht="15.75">
      <c r="A154" s="49" t="s">
        <v>263</v>
      </c>
      <c r="B154" s="66">
        <v>820000</v>
      </c>
      <c r="C154" s="50">
        <v>800000</v>
      </c>
      <c r="D154" s="50">
        <v>776000</v>
      </c>
      <c r="E154" s="50">
        <v>716000</v>
      </c>
      <c r="F154" s="64">
        <v>750000</v>
      </c>
    </row>
    <row r="155" spans="1:6" ht="15.75">
      <c r="A155" s="49" t="s">
        <v>265</v>
      </c>
      <c r="B155" s="66">
        <v>785000</v>
      </c>
      <c r="C155" s="50">
        <v>726000</v>
      </c>
      <c r="D155" s="50">
        <v>666000</v>
      </c>
      <c r="E155" s="50">
        <v>607000</v>
      </c>
      <c r="F155" s="64">
        <v>547000</v>
      </c>
    </row>
    <row r="156" spans="1:6" ht="15.75">
      <c r="A156" s="49"/>
      <c r="B156" s="66"/>
      <c r="C156" s="50"/>
      <c r="D156" s="50"/>
      <c r="E156" s="50"/>
      <c r="F156" s="63"/>
    </row>
    <row r="157" spans="1:6" ht="15.75">
      <c r="A157" s="49" t="s">
        <v>573</v>
      </c>
      <c r="B157" s="66">
        <v>7744000</v>
      </c>
      <c r="C157" s="50">
        <v>9366000</v>
      </c>
      <c r="D157" s="50">
        <v>348000</v>
      </c>
      <c r="E157" s="50">
        <v>12000</v>
      </c>
      <c r="F157" s="64"/>
    </row>
    <row r="158" spans="1:6" ht="15.75">
      <c r="A158" s="49" t="s">
        <v>574</v>
      </c>
      <c r="B158" s="66">
        <v>2200000</v>
      </c>
      <c r="C158" s="50">
        <v>0</v>
      </c>
      <c r="D158" s="50">
        <v>0</v>
      </c>
      <c r="E158" s="50">
        <v>0</v>
      </c>
      <c r="F158" s="63"/>
    </row>
    <row r="159" spans="1:6" ht="15.75">
      <c r="A159" s="49" t="s">
        <v>575</v>
      </c>
      <c r="B159" s="66">
        <v>650000</v>
      </c>
      <c r="C159" s="50">
        <v>2500000</v>
      </c>
      <c r="D159" s="50">
        <v>3380000</v>
      </c>
      <c r="E159" s="50">
        <v>13500000</v>
      </c>
      <c r="F159" s="64">
        <v>11013000</v>
      </c>
    </row>
    <row r="160" spans="1:6" ht="15.75">
      <c r="A160" s="49" t="s">
        <v>576</v>
      </c>
      <c r="B160" s="66">
        <v>500000</v>
      </c>
      <c r="C160" s="50">
        <v>500000</v>
      </c>
      <c r="D160" s="50">
        <v>500000</v>
      </c>
      <c r="E160" s="50">
        <v>500000</v>
      </c>
      <c r="F160" s="64">
        <v>500000</v>
      </c>
    </row>
    <row r="161" spans="1:6" ht="15.75">
      <c r="A161" s="49" t="s">
        <v>577</v>
      </c>
      <c r="B161" s="66">
        <v>0</v>
      </c>
      <c r="C161" s="50"/>
      <c r="D161" s="50">
        <v>1500000</v>
      </c>
      <c r="E161" s="50"/>
      <c r="F161" s="63"/>
    </row>
    <row r="162" spans="1:6" ht="15.75">
      <c r="A162" s="49"/>
      <c r="B162" s="36"/>
      <c r="C162" s="36"/>
      <c r="D162" s="36"/>
      <c r="E162" s="36"/>
      <c r="F162" s="65"/>
    </row>
    <row r="163" spans="1:6" ht="16.5" thickBot="1">
      <c r="A163" s="51" t="s">
        <v>578</v>
      </c>
      <c r="B163" s="47">
        <v>19054000</v>
      </c>
      <c r="C163" s="47">
        <v>21247000</v>
      </c>
      <c r="D163" s="47">
        <v>14310000</v>
      </c>
      <c r="E163" s="47">
        <v>22360000</v>
      </c>
      <c r="F163" s="60">
        <v>19652000</v>
      </c>
    </row>
    <row r="164" spans="1:6" ht="16.5" thickTop="1">
      <c r="A164" s="49"/>
      <c r="B164" s="45"/>
      <c r="C164" s="45"/>
      <c r="D164" s="45"/>
      <c r="E164" s="45"/>
      <c r="F164" s="59"/>
    </row>
    <row r="165" spans="1:6" ht="16.5" thickBot="1">
      <c r="A165" s="46" t="s">
        <v>579</v>
      </c>
      <c r="B165" s="47">
        <v>43401006</v>
      </c>
      <c r="C165" s="47">
        <v>31153000</v>
      </c>
      <c r="D165" s="47">
        <v>18946000</v>
      </c>
      <c r="E165" s="47">
        <v>25542000</v>
      </c>
      <c r="F165" s="60">
        <v>21569000</v>
      </c>
    </row>
    <row r="166" spans="1:6" ht="16.5" thickTop="1">
      <c r="A166" s="48"/>
      <c r="B166" s="41"/>
      <c r="C166" s="41"/>
      <c r="D166" s="41"/>
      <c r="E166" s="41"/>
      <c r="F166" s="56"/>
    </row>
    <row r="167" spans="1:6" ht="15.75">
      <c r="A167" s="44" t="s">
        <v>580</v>
      </c>
      <c r="B167" s="41"/>
      <c r="C167" s="41"/>
      <c r="D167" s="41"/>
      <c r="E167" s="41"/>
      <c r="F167" s="56"/>
    </row>
    <row r="168" spans="1:6" ht="15.75">
      <c r="A168" s="44"/>
      <c r="B168" s="41"/>
      <c r="C168" s="41"/>
      <c r="D168" s="41"/>
      <c r="E168" s="41"/>
      <c r="F168" s="56"/>
    </row>
    <row r="169" spans="1:6" ht="15.75">
      <c r="A169" s="44" t="s">
        <v>268</v>
      </c>
      <c r="B169" s="41"/>
      <c r="C169" s="41"/>
      <c r="D169" s="41"/>
      <c r="E169" s="41"/>
      <c r="F169" s="56"/>
    </row>
    <row r="170" spans="1:6" ht="15.75">
      <c r="A170" s="48" t="s">
        <v>269</v>
      </c>
      <c r="B170" s="41">
        <v>210000</v>
      </c>
      <c r="C170" s="41"/>
      <c r="D170" s="41"/>
      <c r="E170" s="41"/>
      <c r="F170" s="56"/>
    </row>
    <row r="171" spans="1:6" ht="15.75">
      <c r="A171" s="48" t="s">
        <v>270</v>
      </c>
      <c r="B171" s="41">
        <v>482587</v>
      </c>
      <c r="C171" s="41">
        <v>390000</v>
      </c>
      <c r="D171" s="41">
        <v>390000</v>
      </c>
      <c r="E171" s="41">
        <v>390000</v>
      </c>
      <c r="F171" s="56">
        <v>390000</v>
      </c>
    </row>
    <row r="172" spans="1:6" ht="15.75">
      <c r="A172" s="48" t="s">
        <v>271</v>
      </c>
      <c r="B172" s="41">
        <v>16077335</v>
      </c>
      <c r="C172" s="41">
        <v>1598881</v>
      </c>
      <c r="D172" s="41">
        <v>256920</v>
      </c>
      <c r="E172" s="41"/>
      <c r="F172" s="56"/>
    </row>
    <row r="173" spans="1:6" ht="15.75">
      <c r="A173" s="48" t="s">
        <v>272</v>
      </c>
      <c r="B173" s="41">
        <v>1362699</v>
      </c>
      <c r="C173" s="41">
        <v>1697839</v>
      </c>
      <c r="D173" s="41">
        <v>1829080</v>
      </c>
      <c r="E173" s="41">
        <v>387640</v>
      </c>
      <c r="F173" s="56">
        <v>1056587</v>
      </c>
    </row>
    <row r="174" spans="1:6" ht="15.75">
      <c r="A174" s="48" t="s">
        <v>273</v>
      </c>
      <c r="B174" s="41">
        <v>356000</v>
      </c>
      <c r="C174" s="41">
        <v>0</v>
      </c>
      <c r="D174" s="41">
        <v>0</v>
      </c>
      <c r="E174" s="41"/>
      <c r="F174" s="56"/>
    </row>
    <row r="175" spans="1:6" ht="15.75">
      <c r="A175" s="48" t="s">
        <v>274</v>
      </c>
      <c r="B175" s="41">
        <v>1314000</v>
      </c>
      <c r="C175" s="41">
        <v>1270000</v>
      </c>
      <c r="D175" s="41">
        <v>1370000</v>
      </c>
      <c r="E175" s="41"/>
      <c r="F175" s="56"/>
    </row>
    <row r="176" spans="1:6" ht="15.75">
      <c r="A176" s="48"/>
      <c r="B176" s="41"/>
      <c r="C176" s="41"/>
      <c r="D176" s="41"/>
      <c r="E176" s="41"/>
      <c r="F176" s="56"/>
    </row>
    <row r="177" spans="1:6" ht="15.75">
      <c r="A177" s="44" t="s">
        <v>581</v>
      </c>
      <c r="B177" s="41"/>
      <c r="C177" s="41"/>
      <c r="D177" s="41"/>
      <c r="E177" s="41"/>
      <c r="F177" s="56"/>
    </row>
    <row r="178" spans="1:6" ht="15.75">
      <c r="A178" s="48" t="s">
        <v>582</v>
      </c>
      <c r="B178" s="41"/>
      <c r="C178" s="41"/>
      <c r="D178" s="41"/>
      <c r="E178" s="41"/>
      <c r="F178" s="56"/>
    </row>
    <row r="179" spans="1:6" ht="15.75">
      <c r="A179" s="48" t="s">
        <v>583</v>
      </c>
      <c r="B179" s="41">
        <v>1733000</v>
      </c>
      <c r="C179" s="41"/>
      <c r="D179" s="41"/>
      <c r="E179" s="41">
        <v>1279587</v>
      </c>
      <c r="F179" s="56"/>
    </row>
    <row r="180" spans="1:6" ht="15.75">
      <c r="A180" s="48" t="s">
        <v>271</v>
      </c>
      <c r="B180" s="41">
        <v>1428000</v>
      </c>
      <c r="C180" s="41">
        <v>3656200</v>
      </c>
      <c r="D180" s="41"/>
      <c r="E180" s="41">
        <v>521773</v>
      </c>
      <c r="F180" s="56">
        <v>720413</v>
      </c>
    </row>
    <row r="181" spans="1:6" ht="15.75">
      <c r="A181" s="48" t="s">
        <v>584</v>
      </c>
      <c r="B181" s="41"/>
      <c r="C181" s="41"/>
      <c r="D181" s="41"/>
      <c r="E181" s="41">
        <v>150000</v>
      </c>
      <c r="F181" s="56"/>
    </row>
    <row r="182" spans="1:6" ht="15.75">
      <c r="A182" s="48" t="s">
        <v>585</v>
      </c>
      <c r="B182" s="41">
        <v>855685</v>
      </c>
      <c r="C182" s="41">
        <v>1058830</v>
      </c>
      <c r="D182" s="41"/>
      <c r="E182" s="41"/>
      <c r="F182" s="56"/>
    </row>
    <row r="183" spans="1:6" ht="15.75">
      <c r="A183" s="48" t="s">
        <v>586</v>
      </c>
      <c r="B183" s="41"/>
      <c r="C183" s="41"/>
      <c r="D183" s="41">
        <v>790000</v>
      </c>
      <c r="E183" s="41"/>
      <c r="F183" s="56"/>
    </row>
    <row r="184" spans="1:6" ht="15.75">
      <c r="A184" s="48" t="s">
        <v>587</v>
      </c>
      <c r="B184" s="41">
        <v>177700</v>
      </c>
      <c r="C184" s="41">
        <v>209250</v>
      </c>
      <c r="D184" s="41"/>
      <c r="E184" s="41">
        <v>453000</v>
      </c>
      <c r="F184" s="56">
        <v>500000</v>
      </c>
    </row>
    <row r="185" spans="1:6" ht="15.75">
      <c r="A185" s="48" t="s">
        <v>588</v>
      </c>
      <c r="B185" s="41">
        <v>100000</v>
      </c>
      <c r="C185" s="41">
        <v>25000</v>
      </c>
      <c r="D185" s="41"/>
      <c r="E185" s="41"/>
      <c r="F185" s="56"/>
    </row>
    <row r="186" spans="1:6" ht="15.75">
      <c r="A186" s="48" t="s">
        <v>589</v>
      </c>
      <c r="B186" s="41">
        <v>250000</v>
      </c>
      <c r="C186" s="41"/>
      <c r="D186" s="41"/>
      <c r="E186" s="41"/>
      <c r="F186" s="56"/>
    </row>
    <row r="187" spans="1:6" ht="15.75">
      <c r="A187" s="44"/>
      <c r="B187" s="41"/>
      <c r="C187" s="41"/>
      <c r="D187" s="41"/>
      <c r="E187" s="41"/>
      <c r="F187" s="56"/>
    </row>
    <row r="188" spans="1:6" ht="15.75">
      <c r="A188" s="44" t="s">
        <v>277</v>
      </c>
      <c r="B188" s="41"/>
      <c r="C188" s="41"/>
      <c r="D188" s="41"/>
      <c r="E188" s="41"/>
      <c r="F188" s="56"/>
    </row>
    <row r="189" spans="1:6" ht="15.75">
      <c r="A189" s="48" t="s">
        <v>590</v>
      </c>
      <c r="B189" s="41">
        <v>19054000</v>
      </c>
      <c r="C189" s="41">
        <v>19247000</v>
      </c>
      <c r="D189" s="41">
        <v>14310000</v>
      </c>
      <c r="E189" s="41">
        <v>22360000</v>
      </c>
      <c r="F189" s="56">
        <v>19652000</v>
      </c>
    </row>
    <row r="190" spans="1:6" ht="15.75">
      <c r="A190" s="49" t="s">
        <v>591</v>
      </c>
      <c r="B190" s="41"/>
      <c r="C190" s="41">
        <v>2000000</v>
      </c>
      <c r="D190" s="41"/>
      <c r="E190" s="41"/>
      <c r="F190" s="56"/>
    </row>
    <row r="191" spans="1:6" ht="15.75">
      <c r="A191" s="49"/>
      <c r="B191" s="41"/>
      <c r="C191" s="41"/>
      <c r="D191" s="41"/>
      <c r="E191" s="41"/>
      <c r="F191" s="56"/>
    </row>
    <row r="192" spans="1:6" ht="16.5" thickBot="1">
      <c r="A192" s="51" t="s">
        <v>592</v>
      </c>
      <c r="B192" s="47">
        <v>43401006</v>
      </c>
      <c r="C192" s="47">
        <v>31153000</v>
      </c>
      <c r="D192" s="47">
        <v>18946000</v>
      </c>
      <c r="E192" s="47">
        <v>25542000</v>
      </c>
      <c r="F192" s="60">
        <v>22319000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90"/>
  <sheetViews>
    <sheetView zoomScale="75" zoomScaleNormal="75" zoomScalePageLayoutView="0" workbookViewId="0" topLeftCell="B1">
      <pane xSplit="1" ySplit="3" topLeftCell="C66" activePane="bottomRight" state="frozen"/>
      <selection pane="topLeft" activeCell="B1" sqref="B1"/>
      <selection pane="topRight" activeCell="C1" sqref="C1"/>
      <selection pane="bottomLeft" activeCell="B4" sqref="B4"/>
      <selection pane="bottomRight" activeCell="C203" sqref="C203"/>
    </sheetView>
  </sheetViews>
  <sheetFormatPr defaultColWidth="9.140625" defaultRowHeight="15"/>
  <cols>
    <col min="1" max="1" width="12.7109375" style="0" bestFit="1" customWidth="1"/>
    <col min="2" max="2" width="61.28125" style="0" bestFit="1" customWidth="1"/>
    <col min="3" max="3" width="19.57421875" style="0" bestFit="1" customWidth="1"/>
    <col min="4" max="4" width="14.28125" style="0" bestFit="1" customWidth="1"/>
    <col min="5" max="5" width="10.7109375" style="0" bestFit="1" customWidth="1"/>
    <col min="6" max="6" width="14.421875" style="0" bestFit="1" customWidth="1"/>
    <col min="7" max="10" width="11.7109375" style="0" bestFit="1" customWidth="1"/>
    <col min="11" max="11" width="29.8515625" style="0" bestFit="1" customWidth="1"/>
  </cols>
  <sheetData>
    <row r="1" spans="1:24" ht="15.75">
      <c r="A1" s="69"/>
      <c r="B1" s="70" t="s">
        <v>601</v>
      </c>
      <c r="C1" s="71"/>
      <c r="D1" s="71"/>
      <c r="E1" s="71"/>
      <c r="F1" s="71"/>
      <c r="G1" s="260"/>
      <c r="H1" s="260"/>
      <c r="I1" s="260"/>
      <c r="J1" s="71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4" ht="15">
      <c r="A2" s="69"/>
      <c r="B2" s="69"/>
      <c r="C2" s="3"/>
      <c r="D2" s="3"/>
      <c r="E2" s="3"/>
      <c r="F2" s="3"/>
      <c r="G2" s="3"/>
      <c r="H2" s="3"/>
      <c r="I2" s="71"/>
      <c r="J2" s="71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60">
      <c r="A3" s="4"/>
      <c r="B3" s="72" t="s">
        <v>0</v>
      </c>
      <c r="C3" s="73" t="s">
        <v>602</v>
      </c>
      <c r="D3" s="74" t="s">
        <v>603</v>
      </c>
      <c r="E3" s="74" t="s">
        <v>604</v>
      </c>
      <c r="F3" s="74" t="s">
        <v>605</v>
      </c>
      <c r="G3" s="73" t="s">
        <v>1</v>
      </c>
      <c r="H3" s="73" t="s">
        <v>2</v>
      </c>
      <c r="I3" s="73" t="s">
        <v>477</v>
      </c>
      <c r="J3" s="73" t="s">
        <v>606</v>
      </c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ht="15">
      <c r="A4" s="6"/>
      <c r="B4" s="6"/>
      <c r="C4" s="75" t="s">
        <v>5</v>
      </c>
      <c r="D4" s="76"/>
      <c r="E4" s="76"/>
      <c r="F4" s="76"/>
      <c r="G4" s="75" t="s">
        <v>5</v>
      </c>
      <c r="H4" s="75" t="s">
        <v>5</v>
      </c>
      <c r="I4" s="75" t="s">
        <v>5</v>
      </c>
      <c r="J4" s="75" t="s">
        <v>5</v>
      </c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ht="15">
      <c r="A5" s="11" t="s">
        <v>6</v>
      </c>
      <c r="B5" s="8" t="s">
        <v>7</v>
      </c>
      <c r="C5" s="77"/>
      <c r="D5" s="78">
        <v>75000</v>
      </c>
      <c r="E5" s="78">
        <v>75000</v>
      </c>
      <c r="F5" s="78">
        <v>75000</v>
      </c>
      <c r="G5" s="77"/>
      <c r="H5" s="77"/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25.5">
      <c r="A6" s="11" t="s">
        <v>8</v>
      </c>
      <c r="B6" s="8" t="s">
        <v>9</v>
      </c>
      <c r="C6" s="77"/>
      <c r="D6" s="78">
        <v>0</v>
      </c>
      <c r="E6" s="78">
        <v>0</v>
      </c>
      <c r="F6" s="78">
        <v>0</v>
      </c>
      <c r="G6" s="77"/>
      <c r="H6" s="77"/>
      <c r="I6" s="77"/>
      <c r="J6" s="77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15">
      <c r="A7" s="11" t="s">
        <v>10</v>
      </c>
      <c r="B7" s="8" t="s">
        <v>11</v>
      </c>
      <c r="C7" s="77"/>
      <c r="D7" s="78">
        <v>0</v>
      </c>
      <c r="E7" s="78">
        <v>0</v>
      </c>
      <c r="F7" s="78">
        <v>0</v>
      </c>
      <c r="G7" s="77"/>
      <c r="H7" s="77"/>
      <c r="I7" s="77"/>
      <c r="J7" s="77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4" ht="15">
      <c r="A8" s="11" t="s">
        <v>12</v>
      </c>
      <c r="B8" s="8" t="s">
        <v>13</v>
      </c>
      <c r="C8" s="77"/>
      <c r="D8" s="78">
        <v>0</v>
      </c>
      <c r="E8" s="78">
        <v>0</v>
      </c>
      <c r="F8" s="78">
        <v>0</v>
      </c>
      <c r="G8" s="77"/>
      <c r="H8" s="77"/>
      <c r="I8" s="77"/>
      <c r="J8" s="77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4" ht="15">
      <c r="A9" s="11" t="s">
        <v>14</v>
      </c>
      <c r="B9" s="8" t="s">
        <v>15</v>
      </c>
      <c r="C9" s="77"/>
      <c r="D9" s="78">
        <v>0</v>
      </c>
      <c r="E9" s="78">
        <v>0</v>
      </c>
      <c r="F9" s="78">
        <v>0</v>
      </c>
      <c r="G9" s="77"/>
      <c r="H9" s="77"/>
      <c r="I9" s="77"/>
      <c r="J9" s="77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</row>
    <row r="10" spans="1:24" ht="15">
      <c r="A10" s="11" t="s">
        <v>607</v>
      </c>
      <c r="B10" s="8" t="s">
        <v>608</v>
      </c>
      <c r="C10" s="77"/>
      <c r="D10" s="78">
        <v>0</v>
      </c>
      <c r="E10" s="78">
        <v>0</v>
      </c>
      <c r="F10" s="78">
        <v>0</v>
      </c>
      <c r="G10" s="77"/>
      <c r="H10" s="77"/>
      <c r="I10" s="77"/>
      <c r="J10" s="77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</row>
    <row r="11" spans="1:24" ht="15">
      <c r="A11" s="11" t="s">
        <v>16</v>
      </c>
      <c r="B11" s="8" t="s">
        <v>17</v>
      </c>
      <c r="C11" s="77"/>
      <c r="D11" s="78">
        <v>0</v>
      </c>
      <c r="E11" s="78">
        <v>0</v>
      </c>
      <c r="F11" s="78">
        <v>0</v>
      </c>
      <c r="G11" s="77"/>
      <c r="H11" s="77"/>
      <c r="I11" s="77"/>
      <c r="J11" s="77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</row>
    <row r="12" spans="1:24" ht="15">
      <c r="A12" s="11" t="s">
        <v>18</v>
      </c>
      <c r="B12" s="11"/>
      <c r="C12" s="79"/>
      <c r="D12" s="80"/>
      <c r="E12" s="80"/>
      <c r="F12" s="80"/>
      <c r="G12" s="79"/>
      <c r="H12" s="79"/>
      <c r="I12" s="79"/>
      <c r="J12" s="79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</row>
    <row r="13" spans="1:24" ht="15">
      <c r="A13" s="81" t="s">
        <v>19</v>
      </c>
      <c r="B13" s="82" t="s">
        <v>20</v>
      </c>
      <c r="C13" s="83">
        <v>0</v>
      </c>
      <c r="D13" s="84">
        <v>75000</v>
      </c>
      <c r="E13" s="84">
        <v>75000</v>
      </c>
      <c r="F13" s="84">
        <v>75000</v>
      </c>
      <c r="G13" s="83">
        <v>0</v>
      </c>
      <c r="H13" s="83">
        <v>0</v>
      </c>
      <c r="I13" s="83">
        <v>0</v>
      </c>
      <c r="J13" s="83">
        <v>0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</row>
    <row r="14" spans="1:24" ht="15">
      <c r="A14" s="11" t="s">
        <v>18</v>
      </c>
      <c r="B14" s="10"/>
      <c r="C14" s="85"/>
      <c r="D14" s="86"/>
      <c r="E14" s="86"/>
      <c r="F14" s="86"/>
      <c r="G14" s="85"/>
      <c r="H14" s="85"/>
      <c r="I14" s="85"/>
      <c r="J14" s="85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24" ht="15">
      <c r="A15" s="11" t="s">
        <v>21</v>
      </c>
      <c r="B15" s="87" t="s">
        <v>22</v>
      </c>
      <c r="C15" s="88">
        <v>50000</v>
      </c>
      <c r="D15" s="78">
        <v>50000</v>
      </c>
      <c r="E15" s="78">
        <v>0</v>
      </c>
      <c r="F15" s="78">
        <v>50000</v>
      </c>
      <c r="G15" s="88">
        <v>50000</v>
      </c>
      <c r="H15" s="88"/>
      <c r="I15" s="88"/>
      <c r="J15" s="8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5">
      <c r="A16" s="11" t="s">
        <v>23</v>
      </c>
      <c r="B16" s="87" t="s">
        <v>24</v>
      </c>
      <c r="C16" s="88">
        <v>640000</v>
      </c>
      <c r="D16" s="78">
        <v>840000</v>
      </c>
      <c r="E16" s="78">
        <v>200000</v>
      </c>
      <c r="F16" s="78">
        <v>840000</v>
      </c>
      <c r="G16" s="88">
        <v>640000</v>
      </c>
      <c r="H16" s="88">
        <v>640000</v>
      </c>
      <c r="I16" s="88">
        <v>640000</v>
      </c>
      <c r="J16" s="88">
        <v>640000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10" ht="15">
      <c r="A17" s="11" t="s">
        <v>25</v>
      </c>
      <c r="B17" s="87" t="s">
        <v>369</v>
      </c>
      <c r="C17" s="88">
        <v>300000</v>
      </c>
      <c r="D17" s="78">
        <v>300000</v>
      </c>
      <c r="E17" s="78">
        <v>0</v>
      </c>
      <c r="F17" s="78">
        <v>300000</v>
      </c>
      <c r="G17" s="88"/>
      <c r="H17" s="88"/>
      <c r="I17" s="88"/>
      <c r="J17" s="88"/>
    </row>
    <row r="18" spans="1:10" ht="15">
      <c r="A18" s="11"/>
      <c r="B18" s="11"/>
      <c r="C18" s="88"/>
      <c r="D18" s="78"/>
      <c r="E18" s="78"/>
      <c r="F18" s="78"/>
      <c r="G18" s="88"/>
      <c r="H18" s="88"/>
      <c r="I18" s="88"/>
      <c r="J18" s="88"/>
    </row>
    <row r="19" spans="1:10" ht="15">
      <c r="A19" s="81" t="s">
        <v>27</v>
      </c>
      <c r="B19" s="82" t="s">
        <v>28</v>
      </c>
      <c r="C19" s="83">
        <v>990000</v>
      </c>
      <c r="D19" s="84">
        <v>1190000</v>
      </c>
      <c r="E19" s="84">
        <v>200000</v>
      </c>
      <c r="F19" s="84">
        <v>1190000</v>
      </c>
      <c r="G19" s="83">
        <v>690000</v>
      </c>
      <c r="H19" s="83">
        <v>640000</v>
      </c>
      <c r="I19" s="83">
        <v>640000</v>
      </c>
      <c r="J19" s="83">
        <v>640000</v>
      </c>
    </row>
    <row r="20" spans="1:10" ht="15">
      <c r="A20" s="11" t="s">
        <v>18</v>
      </c>
      <c r="B20" s="10"/>
      <c r="C20" s="85"/>
      <c r="D20" s="86"/>
      <c r="E20" s="86"/>
      <c r="F20" s="86"/>
      <c r="G20" s="85"/>
      <c r="H20" s="85"/>
      <c r="I20" s="85"/>
      <c r="J20" s="85"/>
    </row>
    <row r="21" spans="1:10" ht="15">
      <c r="A21" s="11" t="s">
        <v>29</v>
      </c>
      <c r="B21" s="89" t="s">
        <v>30</v>
      </c>
      <c r="C21" s="88"/>
      <c r="D21" s="78">
        <v>19000</v>
      </c>
      <c r="E21" s="78">
        <v>19000</v>
      </c>
      <c r="F21" s="78">
        <v>19000</v>
      </c>
      <c r="G21" s="88"/>
      <c r="H21" s="88"/>
      <c r="I21" s="88"/>
      <c r="J21" s="88"/>
    </row>
    <row r="22" spans="1:10" ht="15">
      <c r="A22" s="11" t="s">
        <v>31</v>
      </c>
      <c r="B22" s="11" t="s">
        <v>32</v>
      </c>
      <c r="C22" s="88"/>
      <c r="D22" s="78">
        <v>6324</v>
      </c>
      <c r="E22" s="78">
        <v>6324</v>
      </c>
      <c r="F22" s="78">
        <v>6324</v>
      </c>
      <c r="G22" s="88"/>
      <c r="H22" s="88"/>
      <c r="I22" s="88"/>
      <c r="J22" s="88"/>
    </row>
    <row r="23" spans="1:10" ht="15">
      <c r="A23" s="11" t="s">
        <v>33</v>
      </c>
      <c r="B23" s="11" t="s">
        <v>34</v>
      </c>
      <c r="C23" s="88"/>
      <c r="D23" s="78">
        <v>2550</v>
      </c>
      <c r="E23" s="78">
        <v>2550</v>
      </c>
      <c r="F23" s="78">
        <v>2550</v>
      </c>
      <c r="G23" s="88"/>
      <c r="H23" s="88"/>
      <c r="I23" s="88"/>
      <c r="J23" s="88"/>
    </row>
    <row r="24" spans="1:10" ht="15">
      <c r="A24" s="11" t="s">
        <v>35</v>
      </c>
      <c r="B24" s="11" t="s">
        <v>36</v>
      </c>
      <c r="C24" s="88"/>
      <c r="D24" s="78">
        <v>1411</v>
      </c>
      <c r="E24" s="78">
        <v>1411</v>
      </c>
      <c r="F24" s="78">
        <v>1411</v>
      </c>
      <c r="G24" s="88"/>
      <c r="H24" s="88"/>
      <c r="I24" s="88"/>
      <c r="J24" s="88"/>
    </row>
    <row r="25" spans="1:10" ht="15">
      <c r="A25" s="11" t="s">
        <v>37</v>
      </c>
      <c r="B25" s="11" t="s">
        <v>38</v>
      </c>
      <c r="C25" s="88"/>
      <c r="D25" s="78">
        <v>0</v>
      </c>
      <c r="E25" s="78">
        <v>0</v>
      </c>
      <c r="F25" s="78">
        <v>0</v>
      </c>
      <c r="G25" s="88"/>
      <c r="H25" s="88"/>
      <c r="I25" s="88"/>
      <c r="J25" s="88"/>
    </row>
    <row r="26" spans="1:10" ht="15">
      <c r="A26" s="11" t="s">
        <v>39</v>
      </c>
      <c r="B26" s="89" t="s">
        <v>40</v>
      </c>
      <c r="C26" s="88"/>
      <c r="D26" s="78">
        <v>0</v>
      </c>
      <c r="E26" s="78">
        <v>0</v>
      </c>
      <c r="F26" s="78">
        <v>0</v>
      </c>
      <c r="G26" s="88"/>
      <c r="H26" s="88"/>
      <c r="I26" s="88"/>
      <c r="J26" s="88"/>
    </row>
    <row r="27" spans="1:10" ht="15">
      <c r="A27" s="11" t="s">
        <v>41</v>
      </c>
      <c r="B27" s="11" t="s">
        <v>609</v>
      </c>
      <c r="C27" s="88"/>
      <c r="D27" s="78">
        <v>0</v>
      </c>
      <c r="E27" s="78">
        <v>0</v>
      </c>
      <c r="F27" s="78">
        <v>0</v>
      </c>
      <c r="G27" s="88"/>
      <c r="H27" s="88"/>
      <c r="I27" s="88"/>
      <c r="J27" s="88"/>
    </row>
    <row r="28" spans="1:10" ht="15">
      <c r="A28" s="11" t="s">
        <v>42</v>
      </c>
      <c r="B28" s="89" t="s">
        <v>43</v>
      </c>
      <c r="C28" s="88"/>
      <c r="D28" s="78">
        <v>0</v>
      </c>
      <c r="E28" s="78">
        <v>0</v>
      </c>
      <c r="F28" s="78">
        <v>0</v>
      </c>
      <c r="G28" s="88"/>
      <c r="H28" s="88"/>
      <c r="I28" s="88"/>
      <c r="J28" s="88"/>
    </row>
    <row r="29" spans="1:10" ht="15">
      <c r="A29" s="11" t="s">
        <v>44</v>
      </c>
      <c r="B29" s="89" t="s">
        <v>45</v>
      </c>
      <c r="C29" s="88"/>
      <c r="D29" s="78">
        <v>0</v>
      </c>
      <c r="E29" s="78">
        <v>0</v>
      </c>
      <c r="F29" s="78">
        <v>0</v>
      </c>
      <c r="G29" s="88"/>
      <c r="H29" s="88"/>
      <c r="I29" s="88"/>
      <c r="J29" s="88"/>
    </row>
    <row r="30" spans="1:10" ht="15">
      <c r="A30" s="11" t="s">
        <v>46</v>
      </c>
      <c r="B30" s="11" t="s">
        <v>47</v>
      </c>
      <c r="C30" s="88"/>
      <c r="D30" s="78">
        <v>0</v>
      </c>
      <c r="E30" s="78">
        <v>0</v>
      </c>
      <c r="F30" s="78">
        <v>0</v>
      </c>
      <c r="G30" s="88"/>
      <c r="H30" s="88"/>
      <c r="I30" s="88"/>
      <c r="J30" s="88"/>
    </row>
    <row r="31" spans="1:10" ht="15">
      <c r="A31" s="11"/>
      <c r="B31" s="11"/>
      <c r="C31" s="88"/>
      <c r="D31" s="78"/>
      <c r="E31" s="78"/>
      <c r="F31" s="78">
        <v>0</v>
      </c>
      <c r="G31" s="88"/>
      <c r="H31" s="88"/>
      <c r="I31" s="88"/>
      <c r="J31" s="88"/>
    </row>
    <row r="32" spans="1:10" ht="15">
      <c r="A32" s="11" t="s">
        <v>48</v>
      </c>
      <c r="B32" s="11" t="s">
        <v>49</v>
      </c>
      <c r="C32" s="88"/>
      <c r="D32" s="78">
        <v>0</v>
      </c>
      <c r="E32" s="78">
        <v>0</v>
      </c>
      <c r="F32" s="78">
        <v>0</v>
      </c>
      <c r="G32" s="88"/>
      <c r="H32" s="88"/>
      <c r="I32" s="88"/>
      <c r="J32" s="88"/>
    </row>
    <row r="33" spans="1:15" ht="15">
      <c r="A33" s="11" t="s">
        <v>18</v>
      </c>
      <c r="B33" s="11"/>
      <c r="C33" s="88"/>
      <c r="D33" s="78"/>
      <c r="E33" s="78"/>
      <c r="F33" s="78"/>
      <c r="G33" s="88"/>
      <c r="H33" s="88"/>
      <c r="I33" s="88"/>
      <c r="J33" s="88"/>
      <c r="K33" s="3"/>
      <c r="L33" s="3"/>
      <c r="M33" s="3"/>
      <c r="N33" s="3"/>
      <c r="O33" s="3"/>
    </row>
    <row r="34" spans="1:15" ht="15">
      <c r="A34" s="81" t="s">
        <v>50</v>
      </c>
      <c r="B34" s="82" t="s">
        <v>51</v>
      </c>
      <c r="C34" s="83">
        <v>0</v>
      </c>
      <c r="D34" s="84">
        <v>29285</v>
      </c>
      <c r="E34" s="84">
        <v>29285</v>
      </c>
      <c r="F34" s="84">
        <v>29285</v>
      </c>
      <c r="G34" s="83">
        <v>0</v>
      </c>
      <c r="H34" s="83">
        <v>0</v>
      </c>
      <c r="I34" s="83">
        <v>0</v>
      </c>
      <c r="J34" s="83">
        <v>0</v>
      </c>
      <c r="K34" s="9"/>
      <c r="L34" s="9"/>
      <c r="M34" s="9"/>
      <c r="N34" s="9"/>
      <c r="O34" s="9"/>
    </row>
    <row r="35" spans="1:15" ht="15">
      <c r="A35" s="11" t="s">
        <v>18</v>
      </c>
      <c r="B35" s="10"/>
      <c r="C35" s="85"/>
      <c r="D35" s="86"/>
      <c r="E35" s="86"/>
      <c r="F35" s="86"/>
      <c r="G35" s="85"/>
      <c r="H35" s="85"/>
      <c r="I35" s="85"/>
      <c r="J35" s="85"/>
      <c r="K35" s="10"/>
      <c r="L35" s="10"/>
      <c r="M35" s="10"/>
      <c r="N35" s="10"/>
      <c r="O35" s="10"/>
    </row>
    <row r="36" spans="1:15" ht="15">
      <c r="A36" s="11"/>
      <c r="B36" s="10"/>
      <c r="C36" s="85"/>
      <c r="D36" s="86"/>
      <c r="E36" s="86"/>
      <c r="F36" s="86"/>
      <c r="G36" s="85"/>
      <c r="H36" s="85"/>
      <c r="I36" s="85"/>
      <c r="J36" s="85"/>
      <c r="K36" s="10"/>
      <c r="L36" s="10"/>
      <c r="M36" s="10"/>
      <c r="N36" s="10"/>
      <c r="O36" s="10"/>
    </row>
    <row r="37" spans="1:15" ht="15">
      <c r="A37" s="11" t="s">
        <v>52</v>
      </c>
      <c r="B37" s="87" t="s">
        <v>610</v>
      </c>
      <c r="C37" s="88">
        <v>128278</v>
      </c>
      <c r="D37" s="78">
        <v>128277.99999999999</v>
      </c>
      <c r="E37" s="78">
        <v>0</v>
      </c>
      <c r="F37" s="78">
        <v>128278</v>
      </c>
      <c r="G37" s="88">
        <v>0</v>
      </c>
      <c r="H37" s="88"/>
      <c r="I37" s="88"/>
      <c r="J37" s="88"/>
      <c r="K37" s="11"/>
      <c r="L37" s="11"/>
      <c r="M37" s="11"/>
      <c r="N37" s="11"/>
      <c r="O37" s="11"/>
    </row>
    <row r="38" spans="1:15" ht="15">
      <c r="A38" s="11" t="s">
        <v>54</v>
      </c>
      <c r="B38" s="87" t="s">
        <v>55</v>
      </c>
      <c r="C38" s="88">
        <v>0</v>
      </c>
      <c r="D38" s="78">
        <v>0</v>
      </c>
      <c r="E38" s="78">
        <v>0</v>
      </c>
      <c r="F38" s="78">
        <v>0</v>
      </c>
      <c r="G38" s="88">
        <v>0</v>
      </c>
      <c r="H38" s="88"/>
      <c r="I38" s="88"/>
      <c r="J38" s="88"/>
      <c r="K38" s="11"/>
      <c r="L38" s="11"/>
      <c r="M38" s="11"/>
      <c r="N38" s="11"/>
      <c r="O38" s="11"/>
    </row>
    <row r="39" spans="1:15" ht="15">
      <c r="A39" s="11" t="s">
        <v>56</v>
      </c>
      <c r="B39" s="87" t="s">
        <v>57</v>
      </c>
      <c r="C39" s="88">
        <v>0</v>
      </c>
      <c r="D39" s="78">
        <v>0</v>
      </c>
      <c r="E39" s="78">
        <v>0</v>
      </c>
      <c r="F39" s="78">
        <v>0</v>
      </c>
      <c r="G39" s="88">
        <v>0</v>
      </c>
      <c r="H39" s="88"/>
      <c r="I39" s="88"/>
      <c r="J39" s="88"/>
      <c r="K39" s="11"/>
      <c r="L39" s="11"/>
      <c r="M39" s="11"/>
      <c r="N39" s="11"/>
      <c r="O39" s="11"/>
    </row>
    <row r="40" spans="1:15" ht="15">
      <c r="A40" s="11" t="s">
        <v>58</v>
      </c>
      <c r="B40" s="87" t="s">
        <v>59</v>
      </c>
      <c r="C40" s="88">
        <v>310000</v>
      </c>
      <c r="D40" s="78">
        <v>310000</v>
      </c>
      <c r="E40" s="78">
        <v>0</v>
      </c>
      <c r="F40" s="78">
        <v>310000</v>
      </c>
      <c r="G40" s="88">
        <v>66000</v>
      </c>
      <c r="H40" s="88"/>
      <c r="I40" s="88"/>
      <c r="J40" s="88"/>
      <c r="K40" s="11"/>
      <c r="L40" s="11"/>
      <c r="M40" s="11"/>
      <c r="N40" s="11"/>
      <c r="O40" s="11"/>
    </row>
    <row r="41" spans="1:15" ht="15">
      <c r="A41" s="11"/>
      <c r="B41" s="87"/>
      <c r="C41" s="88"/>
      <c r="D41" s="78"/>
      <c r="E41" s="78"/>
      <c r="F41" s="78">
        <v>0</v>
      </c>
      <c r="G41" s="88"/>
      <c r="H41" s="88"/>
      <c r="I41" s="88"/>
      <c r="J41" s="88"/>
      <c r="K41" s="11"/>
      <c r="L41" s="11"/>
      <c r="M41" s="11"/>
      <c r="N41" s="11"/>
      <c r="O41" s="11"/>
    </row>
    <row r="42" spans="1:15" ht="15">
      <c r="A42" s="11" t="s">
        <v>611</v>
      </c>
      <c r="B42" s="90" t="s">
        <v>60</v>
      </c>
      <c r="C42" s="88"/>
      <c r="D42" s="78">
        <v>0</v>
      </c>
      <c r="E42" s="78">
        <v>0</v>
      </c>
      <c r="F42" s="78">
        <v>0</v>
      </c>
      <c r="G42" s="88"/>
      <c r="H42" s="88"/>
      <c r="I42" s="88"/>
      <c r="J42" s="88"/>
      <c r="K42" s="11"/>
      <c r="L42" s="11"/>
      <c r="M42" s="11"/>
      <c r="N42" s="11"/>
      <c r="O42" s="11"/>
    </row>
    <row r="43" spans="1:15" ht="15">
      <c r="A43" s="11" t="s">
        <v>61</v>
      </c>
      <c r="B43" s="87" t="s">
        <v>62</v>
      </c>
      <c r="C43" s="88">
        <v>0</v>
      </c>
      <c r="D43" s="78">
        <v>0</v>
      </c>
      <c r="E43" s="78">
        <v>0</v>
      </c>
      <c r="F43" s="78">
        <v>0</v>
      </c>
      <c r="G43" s="88">
        <v>0</v>
      </c>
      <c r="H43" s="88"/>
      <c r="I43" s="88"/>
      <c r="J43" s="88"/>
      <c r="K43" s="11"/>
      <c r="L43" s="11"/>
      <c r="M43" s="11"/>
      <c r="N43" s="11"/>
      <c r="O43" s="11"/>
    </row>
    <row r="44" spans="1:15" ht="15">
      <c r="A44" s="11"/>
      <c r="B44" s="87"/>
      <c r="C44" s="88"/>
      <c r="D44" s="78"/>
      <c r="E44" s="78"/>
      <c r="F44" s="78">
        <v>0</v>
      </c>
      <c r="G44" s="88"/>
      <c r="H44" s="88"/>
      <c r="I44" s="88"/>
      <c r="J44" s="88"/>
      <c r="K44" s="11"/>
      <c r="L44" s="11"/>
      <c r="M44" s="11"/>
      <c r="N44" s="11"/>
      <c r="O44" s="11"/>
    </row>
    <row r="45" spans="1:15" ht="15">
      <c r="A45" s="11"/>
      <c r="B45" s="90" t="s">
        <v>63</v>
      </c>
      <c r="C45" s="88"/>
      <c r="D45" s="78">
        <v>0</v>
      </c>
      <c r="E45" s="78">
        <v>0</v>
      </c>
      <c r="F45" s="78">
        <v>0</v>
      </c>
      <c r="G45" s="88"/>
      <c r="H45" s="88"/>
      <c r="I45" s="88"/>
      <c r="J45" s="88"/>
      <c r="K45" s="11"/>
      <c r="L45" s="11"/>
      <c r="M45" s="11"/>
      <c r="N45" s="11"/>
      <c r="O45" s="11"/>
    </row>
    <row r="46" spans="1:15" ht="15">
      <c r="A46" s="11" t="s">
        <v>64</v>
      </c>
      <c r="B46" s="87" t="s">
        <v>65</v>
      </c>
      <c r="C46" s="88"/>
      <c r="D46" s="78">
        <v>0</v>
      </c>
      <c r="E46" s="78">
        <v>0</v>
      </c>
      <c r="F46" s="78">
        <v>0</v>
      </c>
      <c r="G46" s="88"/>
      <c r="H46" s="88"/>
      <c r="I46" s="88"/>
      <c r="J46" s="88"/>
      <c r="K46" s="11"/>
      <c r="L46" s="11"/>
      <c r="M46" s="11"/>
      <c r="N46" s="11"/>
      <c r="O46" s="11"/>
    </row>
    <row r="47" spans="1:15" ht="15">
      <c r="A47" s="11" t="s">
        <v>66</v>
      </c>
      <c r="B47" s="87" t="s">
        <v>67</v>
      </c>
      <c r="C47" s="88"/>
      <c r="D47" s="78">
        <v>0</v>
      </c>
      <c r="E47" s="78">
        <v>0</v>
      </c>
      <c r="F47" s="78">
        <v>0</v>
      </c>
      <c r="G47" s="88"/>
      <c r="H47" s="88"/>
      <c r="I47" s="88"/>
      <c r="J47" s="88"/>
      <c r="K47" s="11"/>
      <c r="L47" s="11"/>
      <c r="M47" s="11"/>
      <c r="N47" s="11"/>
      <c r="O47" s="11"/>
    </row>
    <row r="48" spans="1:15" ht="15">
      <c r="A48" s="11" t="s">
        <v>68</v>
      </c>
      <c r="B48" s="87" t="s">
        <v>69</v>
      </c>
      <c r="C48" s="88"/>
      <c r="D48" s="78">
        <v>88000</v>
      </c>
      <c r="E48" s="78">
        <v>88000</v>
      </c>
      <c r="F48" s="78">
        <v>88000</v>
      </c>
      <c r="G48" s="88"/>
      <c r="H48" s="88"/>
      <c r="I48" s="88"/>
      <c r="J48" s="88"/>
      <c r="K48" s="11"/>
      <c r="L48" s="11"/>
      <c r="M48" s="11"/>
      <c r="N48" s="11"/>
      <c r="O48" s="11"/>
    </row>
    <row r="49" spans="1:10" ht="15">
      <c r="A49" s="11"/>
      <c r="B49" s="87"/>
      <c r="C49" s="88"/>
      <c r="D49" s="78"/>
      <c r="E49" s="78"/>
      <c r="F49" s="78">
        <v>0</v>
      </c>
      <c r="G49" s="88"/>
      <c r="H49" s="88"/>
      <c r="I49" s="88"/>
      <c r="J49" s="88"/>
    </row>
    <row r="50" spans="1:10" ht="15">
      <c r="A50" s="11"/>
      <c r="B50" s="90" t="s">
        <v>70</v>
      </c>
      <c r="C50" s="88"/>
      <c r="D50" s="78">
        <v>0</v>
      </c>
      <c r="E50" s="78">
        <v>0</v>
      </c>
      <c r="F50" s="78">
        <v>0</v>
      </c>
      <c r="G50" s="88"/>
      <c r="H50" s="88"/>
      <c r="I50" s="88"/>
      <c r="J50" s="88"/>
    </row>
    <row r="51" spans="1:10" ht="15">
      <c r="A51" s="11" t="s">
        <v>71</v>
      </c>
      <c r="B51" s="87" t="s">
        <v>72</v>
      </c>
      <c r="C51" s="88"/>
      <c r="D51" s="78">
        <v>26941</v>
      </c>
      <c r="E51" s="78">
        <v>26941</v>
      </c>
      <c r="F51" s="78">
        <v>26941</v>
      </c>
      <c r="G51" s="88"/>
      <c r="H51" s="88"/>
      <c r="I51" s="88"/>
      <c r="J51" s="88"/>
    </row>
    <row r="52" spans="1:10" ht="15">
      <c r="A52" s="11" t="s">
        <v>73</v>
      </c>
      <c r="B52" s="87" t="s">
        <v>74</v>
      </c>
      <c r="C52" s="88"/>
      <c r="D52" s="78">
        <v>0</v>
      </c>
      <c r="E52" s="78">
        <v>0</v>
      </c>
      <c r="F52" s="78">
        <v>0</v>
      </c>
      <c r="G52" s="88"/>
      <c r="H52" s="88"/>
      <c r="I52" s="88"/>
      <c r="J52" s="88"/>
    </row>
    <row r="53" spans="1:10" ht="15">
      <c r="A53" s="11" t="s">
        <v>75</v>
      </c>
      <c r="B53" s="87" t="s">
        <v>76</v>
      </c>
      <c r="C53" s="88">
        <v>0</v>
      </c>
      <c r="D53" s="78">
        <v>90000</v>
      </c>
      <c r="E53" s="78">
        <v>90000</v>
      </c>
      <c r="F53" s="78">
        <v>90000</v>
      </c>
      <c r="G53" s="88">
        <v>0</v>
      </c>
      <c r="H53" s="88"/>
      <c r="I53" s="88"/>
      <c r="J53" s="88"/>
    </row>
    <row r="54" spans="1:10" ht="15">
      <c r="A54" s="11" t="s">
        <v>77</v>
      </c>
      <c r="B54" s="87" t="s">
        <v>78</v>
      </c>
      <c r="C54" s="88"/>
      <c r="D54" s="78">
        <v>50000</v>
      </c>
      <c r="E54" s="78">
        <v>50000</v>
      </c>
      <c r="F54" s="78">
        <v>50000</v>
      </c>
      <c r="G54" s="88"/>
      <c r="H54" s="88"/>
      <c r="I54" s="88"/>
      <c r="J54" s="88"/>
    </row>
    <row r="55" spans="1:10" ht="15">
      <c r="A55" s="11" t="s">
        <v>79</v>
      </c>
      <c r="B55" s="87" t="s">
        <v>80</v>
      </c>
      <c r="C55" s="88">
        <v>0</v>
      </c>
      <c r="D55" s="78">
        <v>100000</v>
      </c>
      <c r="E55" s="78">
        <v>100000</v>
      </c>
      <c r="F55" s="78">
        <v>100000</v>
      </c>
      <c r="G55" s="88">
        <v>0</v>
      </c>
      <c r="H55" s="88">
        <v>0</v>
      </c>
      <c r="I55" s="88"/>
      <c r="J55" s="88"/>
    </row>
    <row r="56" spans="1:10" ht="15">
      <c r="A56" s="11" t="s">
        <v>81</v>
      </c>
      <c r="B56" s="87" t="s">
        <v>82</v>
      </c>
      <c r="C56" s="88">
        <v>0</v>
      </c>
      <c r="D56" s="78">
        <v>0</v>
      </c>
      <c r="E56" s="78">
        <v>0</v>
      </c>
      <c r="F56" s="78">
        <v>0</v>
      </c>
      <c r="G56" s="88">
        <v>0</v>
      </c>
      <c r="H56" s="88">
        <v>0</v>
      </c>
      <c r="I56" s="88"/>
      <c r="J56" s="88"/>
    </row>
    <row r="57" spans="1:10" ht="15">
      <c r="A57" s="11"/>
      <c r="B57" s="87"/>
      <c r="C57" s="88"/>
      <c r="D57" s="78"/>
      <c r="E57" s="78"/>
      <c r="F57" s="78">
        <v>0</v>
      </c>
      <c r="G57" s="88"/>
      <c r="H57" s="88"/>
      <c r="I57" s="88"/>
      <c r="J57" s="88"/>
    </row>
    <row r="58" spans="1:10" ht="15">
      <c r="A58" s="11"/>
      <c r="B58" s="90" t="s">
        <v>83</v>
      </c>
      <c r="C58" s="88"/>
      <c r="D58" s="78">
        <v>0</v>
      </c>
      <c r="E58" s="78">
        <v>0</v>
      </c>
      <c r="F58" s="78">
        <v>0</v>
      </c>
      <c r="G58" s="88"/>
      <c r="H58" s="88"/>
      <c r="I58" s="88"/>
      <c r="J58" s="88"/>
    </row>
    <row r="59" spans="1:10" ht="15">
      <c r="A59" s="11" t="s">
        <v>84</v>
      </c>
      <c r="B59" s="87" t="s">
        <v>85</v>
      </c>
      <c r="C59" s="88"/>
      <c r="D59" s="78">
        <v>0</v>
      </c>
      <c r="E59" s="78">
        <v>0</v>
      </c>
      <c r="F59" s="78">
        <v>0</v>
      </c>
      <c r="G59" s="88"/>
      <c r="H59" s="88"/>
      <c r="I59" s="88"/>
      <c r="J59" s="88"/>
    </row>
    <row r="60" spans="1:10" ht="15">
      <c r="A60" s="11" t="s">
        <v>86</v>
      </c>
      <c r="B60" s="87" t="s">
        <v>87</v>
      </c>
      <c r="C60" s="88"/>
      <c r="D60" s="78">
        <v>0</v>
      </c>
      <c r="E60" s="78">
        <v>0</v>
      </c>
      <c r="F60" s="78">
        <v>0</v>
      </c>
      <c r="G60" s="88"/>
      <c r="H60" s="88"/>
      <c r="I60" s="88"/>
      <c r="J60" s="88"/>
    </row>
    <row r="61" spans="1:10" ht="15">
      <c r="A61" s="11" t="s">
        <v>88</v>
      </c>
      <c r="B61" s="87" t="s">
        <v>89</v>
      </c>
      <c r="C61" s="88"/>
      <c r="D61" s="78">
        <v>0</v>
      </c>
      <c r="E61" s="78">
        <v>0</v>
      </c>
      <c r="F61" s="78">
        <v>0</v>
      </c>
      <c r="G61" s="88"/>
      <c r="H61" s="88"/>
      <c r="I61" s="88"/>
      <c r="J61" s="88"/>
    </row>
    <row r="62" spans="1:10" ht="15">
      <c r="A62" s="11" t="s">
        <v>90</v>
      </c>
      <c r="B62" s="87" t="s">
        <v>91</v>
      </c>
      <c r="C62" s="88"/>
      <c r="D62" s="78">
        <v>0</v>
      </c>
      <c r="E62" s="78">
        <v>0</v>
      </c>
      <c r="F62" s="78">
        <v>0</v>
      </c>
      <c r="G62" s="88"/>
      <c r="H62" s="88"/>
      <c r="I62" s="88"/>
      <c r="J62" s="88"/>
    </row>
    <row r="63" spans="1:10" ht="15">
      <c r="A63" s="11" t="s">
        <v>92</v>
      </c>
      <c r="B63" s="87" t="s">
        <v>93</v>
      </c>
      <c r="C63" s="88"/>
      <c r="D63" s="78">
        <v>0</v>
      </c>
      <c r="E63" s="78">
        <v>0</v>
      </c>
      <c r="F63" s="78">
        <v>0</v>
      </c>
      <c r="G63" s="88"/>
      <c r="H63" s="88"/>
      <c r="I63" s="88"/>
      <c r="J63" s="88"/>
    </row>
    <row r="64" spans="1:10" ht="15">
      <c r="A64" s="11" t="s">
        <v>94</v>
      </c>
      <c r="B64" s="87" t="s">
        <v>95</v>
      </c>
      <c r="C64" s="88"/>
      <c r="D64" s="78">
        <v>43000</v>
      </c>
      <c r="E64" s="78">
        <v>43000</v>
      </c>
      <c r="F64" s="78">
        <v>43000</v>
      </c>
      <c r="G64" s="88"/>
      <c r="H64" s="88"/>
      <c r="I64" s="88"/>
      <c r="J64" s="88"/>
    </row>
    <row r="65" spans="1:10" ht="15">
      <c r="A65" s="11" t="s">
        <v>96</v>
      </c>
      <c r="B65" s="87" t="s">
        <v>97</v>
      </c>
      <c r="C65" s="88"/>
      <c r="D65" s="78">
        <v>20000</v>
      </c>
      <c r="E65" s="78">
        <v>20000</v>
      </c>
      <c r="F65" s="78">
        <v>20000</v>
      </c>
      <c r="G65" s="88"/>
      <c r="H65" s="88"/>
      <c r="I65" s="88"/>
      <c r="J65" s="88"/>
    </row>
    <row r="66" spans="1:10" ht="15">
      <c r="A66" s="11" t="s">
        <v>98</v>
      </c>
      <c r="B66" s="87" t="s">
        <v>99</v>
      </c>
      <c r="C66" s="88"/>
      <c r="D66" s="78">
        <v>0</v>
      </c>
      <c r="E66" s="78">
        <v>0</v>
      </c>
      <c r="F66" s="78">
        <v>0</v>
      </c>
      <c r="G66" s="88"/>
      <c r="H66" s="88"/>
      <c r="I66" s="88"/>
      <c r="J66" s="88"/>
    </row>
    <row r="67" spans="1:10" ht="15">
      <c r="A67" s="11"/>
      <c r="B67" s="87"/>
      <c r="C67" s="88"/>
      <c r="D67" s="78"/>
      <c r="E67" s="78"/>
      <c r="F67" s="78">
        <v>0</v>
      </c>
      <c r="G67" s="88"/>
      <c r="H67" s="88"/>
      <c r="I67" s="88"/>
      <c r="J67" s="88"/>
    </row>
    <row r="68" spans="1:10" ht="15">
      <c r="A68" s="11"/>
      <c r="B68" s="90" t="s">
        <v>100</v>
      </c>
      <c r="C68" s="88"/>
      <c r="D68" s="78">
        <v>0</v>
      </c>
      <c r="E68" s="78">
        <v>0</v>
      </c>
      <c r="F68" s="78">
        <v>0</v>
      </c>
      <c r="G68" s="88"/>
      <c r="H68" s="88"/>
      <c r="I68" s="88"/>
      <c r="J68" s="88"/>
    </row>
    <row r="69" spans="1:10" ht="15">
      <c r="A69" s="11" t="s">
        <v>101</v>
      </c>
      <c r="B69" s="87" t="s">
        <v>102</v>
      </c>
      <c r="C69" s="88"/>
      <c r="D69" s="78">
        <v>0</v>
      </c>
      <c r="E69" s="78">
        <v>0</v>
      </c>
      <c r="F69" s="78">
        <v>0</v>
      </c>
      <c r="G69" s="88"/>
      <c r="H69" s="88"/>
      <c r="I69" s="88"/>
      <c r="J69" s="88"/>
    </row>
    <row r="70" spans="1:10" ht="15">
      <c r="A70" s="11" t="s">
        <v>103</v>
      </c>
      <c r="B70" s="87" t="s">
        <v>104</v>
      </c>
      <c r="C70" s="88"/>
      <c r="D70" s="78">
        <v>0</v>
      </c>
      <c r="E70" s="78">
        <v>0</v>
      </c>
      <c r="F70" s="78">
        <v>0</v>
      </c>
      <c r="G70" s="88"/>
      <c r="H70" s="88"/>
      <c r="I70" s="88"/>
      <c r="J70" s="88"/>
    </row>
    <row r="71" spans="1:10" ht="15">
      <c r="A71" s="11" t="s">
        <v>105</v>
      </c>
      <c r="B71" s="87" t="s">
        <v>106</v>
      </c>
      <c r="C71" s="88"/>
      <c r="D71" s="78">
        <v>0</v>
      </c>
      <c r="E71" s="78">
        <v>0</v>
      </c>
      <c r="F71" s="78">
        <v>0</v>
      </c>
      <c r="G71" s="88"/>
      <c r="H71" s="88"/>
      <c r="I71" s="88"/>
      <c r="J71" s="88"/>
    </row>
    <row r="72" spans="1:10" ht="15">
      <c r="A72" s="11" t="s">
        <v>107</v>
      </c>
      <c r="B72" s="87" t="s">
        <v>108</v>
      </c>
      <c r="C72" s="88"/>
      <c r="D72" s="78">
        <v>0</v>
      </c>
      <c r="E72" s="78">
        <v>0</v>
      </c>
      <c r="F72" s="78">
        <v>0</v>
      </c>
      <c r="G72" s="88"/>
      <c r="H72" s="88"/>
      <c r="I72" s="88"/>
      <c r="J72" s="88"/>
    </row>
    <row r="73" spans="1:10" ht="15">
      <c r="A73" s="11" t="s">
        <v>109</v>
      </c>
      <c r="B73" s="87" t="s">
        <v>110</v>
      </c>
      <c r="C73" s="88"/>
      <c r="D73" s="78">
        <v>75000</v>
      </c>
      <c r="E73" s="78">
        <v>75000</v>
      </c>
      <c r="F73" s="78">
        <v>75000</v>
      </c>
      <c r="G73" s="88"/>
      <c r="H73" s="88"/>
      <c r="I73" s="88"/>
      <c r="J73" s="88"/>
    </row>
    <row r="74" spans="1:10" ht="15">
      <c r="A74" s="11" t="s">
        <v>111</v>
      </c>
      <c r="B74" s="87" t="s">
        <v>112</v>
      </c>
      <c r="C74" s="88"/>
      <c r="D74" s="78">
        <v>0</v>
      </c>
      <c r="E74" s="78">
        <v>0</v>
      </c>
      <c r="F74" s="78">
        <v>0</v>
      </c>
      <c r="G74" s="88"/>
      <c r="H74" s="88"/>
      <c r="I74" s="88"/>
      <c r="J74" s="88"/>
    </row>
    <row r="75" spans="1:10" ht="15">
      <c r="A75" s="11" t="s">
        <v>113</v>
      </c>
      <c r="B75" s="87" t="s">
        <v>114</v>
      </c>
      <c r="C75" s="88"/>
      <c r="D75" s="78">
        <v>0</v>
      </c>
      <c r="E75" s="78">
        <v>0</v>
      </c>
      <c r="F75" s="78">
        <v>0</v>
      </c>
      <c r="G75" s="88"/>
      <c r="H75" s="88"/>
      <c r="I75" s="88"/>
      <c r="J75" s="88"/>
    </row>
    <row r="76" spans="1:10" ht="15">
      <c r="A76" s="11" t="s">
        <v>115</v>
      </c>
      <c r="B76" s="87" t="s">
        <v>116</v>
      </c>
      <c r="C76" s="88"/>
      <c r="D76" s="78">
        <v>0</v>
      </c>
      <c r="E76" s="78">
        <v>0</v>
      </c>
      <c r="F76" s="78">
        <v>0</v>
      </c>
      <c r="G76" s="88"/>
      <c r="H76" s="88"/>
      <c r="I76" s="88"/>
      <c r="J76" s="88"/>
    </row>
    <row r="77" spans="1:10" ht="15">
      <c r="A77" s="11" t="s">
        <v>117</v>
      </c>
      <c r="B77" s="87" t="s">
        <v>118</v>
      </c>
      <c r="C77" s="88">
        <v>1750000</v>
      </c>
      <c r="D77" s="78">
        <v>1880000</v>
      </c>
      <c r="E77" s="78">
        <v>130000</v>
      </c>
      <c r="F77" s="78">
        <v>1880000</v>
      </c>
      <c r="G77" s="88">
        <v>0</v>
      </c>
      <c r="H77" s="88">
        <v>0</v>
      </c>
      <c r="I77" s="88"/>
      <c r="J77" s="88"/>
    </row>
    <row r="78" spans="1:10" ht="15">
      <c r="A78" s="11"/>
      <c r="B78" s="87"/>
      <c r="C78" s="88"/>
      <c r="D78" s="78"/>
      <c r="E78" s="78"/>
      <c r="F78" s="78">
        <v>0</v>
      </c>
      <c r="G78" s="88"/>
      <c r="H78" s="88"/>
      <c r="I78" s="88"/>
      <c r="J78" s="88"/>
    </row>
    <row r="79" spans="1:10" ht="15">
      <c r="A79" s="11"/>
      <c r="B79" s="90" t="s">
        <v>119</v>
      </c>
      <c r="C79" s="88"/>
      <c r="D79" s="78">
        <v>0</v>
      </c>
      <c r="E79" s="78">
        <v>0</v>
      </c>
      <c r="F79" s="78">
        <v>0</v>
      </c>
      <c r="G79" s="88"/>
      <c r="H79" s="88"/>
      <c r="I79" s="88"/>
      <c r="J79" s="88"/>
    </row>
    <row r="80" spans="1:10" ht="15">
      <c r="A80" s="11" t="s">
        <v>120</v>
      </c>
      <c r="B80" s="87" t="s">
        <v>121</v>
      </c>
      <c r="C80" s="88"/>
      <c r="D80" s="78">
        <v>0</v>
      </c>
      <c r="E80" s="78">
        <v>0</v>
      </c>
      <c r="F80" s="78">
        <v>0</v>
      </c>
      <c r="G80" s="88"/>
      <c r="H80" s="88"/>
      <c r="I80" s="88"/>
      <c r="J80" s="88"/>
    </row>
    <row r="81" spans="1:10" ht="15">
      <c r="A81" s="11" t="s">
        <v>122</v>
      </c>
      <c r="B81" s="87" t="s">
        <v>123</v>
      </c>
      <c r="C81" s="88"/>
      <c r="D81" s="78">
        <v>0</v>
      </c>
      <c r="E81" s="78">
        <v>0</v>
      </c>
      <c r="F81" s="78">
        <v>0</v>
      </c>
      <c r="G81" s="88"/>
      <c r="H81" s="88"/>
      <c r="I81" s="88"/>
      <c r="J81" s="88"/>
    </row>
    <row r="82" spans="1:10" ht="15">
      <c r="A82" s="11" t="s">
        <v>124</v>
      </c>
      <c r="B82" s="87" t="s">
        <v>125</v>
      </c>
      <c r="C82" s="88"/>
      <c r="D82" s="78">
        <v>0</v>
      </c>
      <c r="E82" s="78">
        <v>0</v>
      </c>
      <c r="F82" s="78">
        <v>0</v>
      </c>
      <c r="G82" s="88"/>
      <c r="H82" s="88"/>
      <c r="I82" s="88"/>
      <c r="J82" s="88"/>
    </row>
    <row r="83" spans="1:10" ht="15">
      <c r="A83" s="11" t="s">
        <v>126</v>
      </c>
      <c r="B83" s="87" t="s">
        <v>127</v>
      </c>
      <c r="C83" s="88">
        <v>40000</v>
      </c>
      <c r="D83" s="78">
        <v>40000</v>
      </c>
      <c r="E83" s="78">
        <v>0</v>
      </c>
      <c r="F83" s="78">
        <v>40000</v>
      </c>
      <c r="G83" s="88">
        <v>40000</v>
      </c>
      <c r="H83" s="88">
        <v>0</v>
      </c>
      <c r="I83" s="88"/>
      <c r="J83" s="88"/>
    </row>
    <row r="84" spans="1:10" ht="15">
      <c r="A84" s="11" t="s">
        <v>128</v>
      </c>
      <c r="B84" s="87" t="s">
        <v>129</v>
      </c>
      <c r="C84" s="88">
        <v>150000</v>
      </c>
      <c r="D84" s="78">
        <v>225000</v>
      </c>
      <c r="E84" s="78">
        <v>75000</v>
      </c>
      <c r="F84" s="78">
        <v>225000</v>
      </c>
      <c r="G84" s="88">
        <v>150000</v>
      </c>
      <c r="H84" s="88">
        <v>0</v>
      </c>
      <c r="I84" s="88"/>
      <c r="J84" s="88"/>
    </row>
    <row r="85" spans="1:10" ht="15">
      <c r="A85" s="11" t="s">
        <v>612</v>
      </c>
      <c r="B85" s="87" t="s">
        <v>131</v>
      </c>
      <c r="C85" s="88"/>
      <c r="D85" s="78">
        <v>0</v>
      </c>
      <c r="E85" s="78">
        <v>0</v>
      </c>
      <c r="F85" s="78">
        <v>0</v>
      </c>
      <c r="G85" s="88"/>
      <c r="H85" s="88"/>
      <c r="I85" s="88"/>
      <c r="J85" s="88"/>
    </row>
    <row r="86" spans="1:10" ht="15">
      <c r="A86" s="11" t="s">
        <v>132</v>
      </c>
      <c r="B86" s="87" t="s">
        <v>133</v>
      </c>
      <c r="C86" s="88">
        <v>0</v>
      </c>
      <c r="D86" s="78">
        <v>0</v>
      </c>
      <c r="E86" s="78">
        <v>0</v>
      </c>
      <c r="F86" s="78">
        <v>0</v>
      </c>
      <c r="G86" s="88">
        <v>0</v>
      </c>
      <c r="H86" s="88">
        <v>0</v>
      </c>
      <c r="I86" s="88"/>
      <c r="J86" s="88"/>
    </row>
    <row r="87" spans="1:10" ht="15">
      <c r="A87" s="11"/>
      <c r="B87" s="87"/>
      <c r="C87" s="88"/>
      <c r="D87" s="78"/>
      <c r="E87" s="78"/>
      <c r="F87" s="78">
        <v>0</v>
      </c>
      <c r="G87" s="88"/>
      <c r="H87" s="88"/>
      <c r="I87" s="88"/>
      <c r="J87" s="88"/>
    </row>
    <row r="88" spans="1:10" ht="15">
      <c r="A88" s="11"/>
      <c r="B88" s="90" t="s">
        <v>134</v>
      </c>
      <c r="C88" s="88"/>
      <c r="D88" s="78">
        <v>0</v>
      </c>
      <c r="E88" s="78">
        <v>0</v>
      </c>
      <c r="F88" s="78">
        <v>0</v>
      </c>
      <c r="G88" s="88"/>
      <c r="H88" s="88"/>
      <c r="I88" s="88"/>
      <c r="J88" s="88"/>
    </row>
    <row r="89" spans="1:10" ht="15">
      <c r="A89" s="11" t="s">
        <v>135</v>
      </c>
      <c r="B89" s="87" t="s">
        <v>136</v>
      </c>
      <c r="C89" s="88"/>
      <c r="D89" s="78">
        <v>297702</v>
      </c>
      <c r="E89" s="78">
        <v>297702</v>
      </c>
      <c r="F89" s="78">
        <v>297702</v>
      </c>
      <c r="G89" s="88"/>
      <c r="H89" s="88"/>
      <c r="I89" s="88"/>
      <c r="J89" s="88"/>
    </row>
    <row r="90" spans="1:10" ht="15">
      <c r="A90" s="11" t="s">
        <v>137</v>
      </c>
      <c r="B90" s="87" t="s">
        <v>138</v>
      </c>
      <c r="C90" s="88"/>
      <c r="D90" s="78">
        <v>0</v>
      </c>
      <c r="E90" s="78">
        <v>0</v>
      </c>
      <c r="F90" s="78">
        <v>0</v>
      </c>
      <c r="G90" s="88"/>
      <c r="H90" s="88"/>
      <c r="I90" s="88"/>
      <c r="J90" s="88"/>
    </row>
    <row r="91" spans="1:10" ht="15">
      <c r="A91" s="11" t="s">
        <v>139</v>
      </c>
      <c r="B91" s="87" t="s">
        <v>140</v>
      </c>
      <c r="C91" s="88"/>
      <c r="D91" s="78">
        <v>0</v>
      </c>
      <c r="E91" s="78">
        <v>0</v>
      </c>
      <c r="F91" s="78">
        <v>0</v>
      </c>
      <c r="G91" s="88"/>
      <c r="H91" s="88"/>
      <c r="I91" s="88"/>
      <c r="J91" s="88"/>
    </row>
    <row r="92" spans="1:10" ht="15">
      <c r="A92" s="11" t="s">
        <v>141</v>
      </c>
      <c r="B92" s="87" t="s">
        <v>142</v>
      </c>
      <c r="C92" s="88"/>
      <c r="D92" s="78">
        <v>300000</v>
      </c>
      <c r="E92" s="78">
        <v>300000</v>
      </c>
      <c r="F92" s="78">
        <v>300000</v>
      </c>
      <c r="G92" s="88"/>
      <c r="H92" s="88"/>
      <c r="I92" s="88"/>
      <c r="J92" s="88"/>
    </row>
    <row r="93" spans="1:10" ht="15">
      <c r="A93" s="11"/>
      <c r="B93" s="87"/>
      <c r="C93" s="88"/>
      <c r="D93" s="78"/>
      <c r="E93" s="78"/>
      <c r="F93" s="78">
        <v>0</v>
      </c>
      <c r="G93" s="88"/>
      <c r="H93" s="88"/>
      <c r="I93" s="88"/>
      <c r="J93" s="88"/>
    </row>
    <row r="94" spans="1:10" ht="15">
      <c r="A94" s="11" t="s">
        <v>613</v>
      </c>
      <c r="B94" s="90" t="s">
        <v>614</v>
      </c>
      <c r="C94" s="88"/>
      <c r="D94" s="78">
        <v>0</v>
      </c>
      <c r="E94" s="78">
        <v>0</v>
      </c>
      <c r="F94" s="78">
        <v>0</v>
      </c>
      <c r="G94" s="88"/>
      <c r="H94" s="88"/>
      <c r="I94" s="88"/>
      <c r="J94" s="88"/>
    </row>
    <row r="95" spans="1:10" ht="15">
      <c r="A95" s="11" t="s">
        <v>615</v>
      </c>
      <c r="B95" s="87" t="s">
        <v>616</v>
      </c>
      <c r="C95" s="88">
        <v>1400000</v>
      </c>
      <c r="D95" s="78">
        <v>1400000</v>
      </c>
      <c r="E95" s="78">
        <v>0</v>
      </c>
      <c r="F95" s="78">
        <v>1400000</v>
      </c>
      <c r="G95" s="88">
        <v>1400000</v>
      </c>
      <c r="H95" s="88">
        <v>910000</v>
      </c>
      <c r="I95" s="88"/>
      <c r="J95" s="88"/>
    </row>
    <row r="96" spans="1:10" ht="15">
      <c r="A96" s="11" t="s">
        <v>18</v>
      </c>
      <c r="B96" s="11"/>
      <c r="C96" s="88"/>
      <c r="D96" s="78"/>
      <c r="E96" s="78"/>
      <c r="F96" s="78"/>
      <c r="G96" s="88"/>
      <c r="H96" s="88"/>
      <c r="I96" s="88"/>
      <c r="J96" s="88"/>
    </row>
    <row r="97" spans="1:10" ht="15">
      <c r="A97" s="81" t="s">
        <v>143</v>
      </c>
      <c r="B97" s="82" t="s">
        <v>144</v>
      </c>
      <c r="C97" s="83">
        <v>3778278</v>
      </c>
      <c r="D97" s="84">
        <v>5073921</v>
      </c>
      <c r="E97" s="84">
        <v>1295643</v>
      </c>
      <c r="F97" s="84">
        <v>5073921</v>
      </c>
      <c r="G97" s="83">
        <v>1656000</v>
      </c>
      <c r="H97" s="83">
        <v>910000</v>
      </c>
      <c r="I97" s="83">
        <v>0</v>
      </c>
      <c r="J97" s="83">
        <v>0</v>
      </c>
    </row>
    <row r="98" spans="1:10" ht="15">
      <c r="A98" s="11" t="s">
        <v>18</v>
      </c>
      <c r="B98" s="10"/>
      <c r="C98" s="85"/>
      <c r="D98" s="86"/>
      <c r="E98" s="86"/>
      <c r="F98" s="86"/>
      <c r="G98" s="85"/>
      <c r="H98" s="85"/>
      <c r="I98" s="85"/>
      <c r="J98" s="85"/>
    </row>
    <row r="99" spans="1:10" ht="15">
      <c r="A99" s="11" t="s">
        <v>145</v>
      </c>
      <c r="B99" s="11" t="s">
        <v>146</v>
      </c>
      <c r="C99" s="88"/>
      <c r="D99" s="78">
        <v>0</v>
      </c>
      <c r="E99" s="78">
        <v>0</v>
      </c>
      <c r="F99" s="78">
        <v>0</v>
      </c>
      <c r="G99" s="88"/>
      <c r="H99" s="88"/>
      <c r="I99" s="88"/>
      <c r="J99" s="88"/>
    </row>
    <row r="100" spans="1:10" ht="15">
      <c r="A100" s="11" t="s">
        <v>147</v>
      </c>
      <c r="B100" s="89" t="s">
        <v>148</v>
      </c>
      <c r="C100" s="88"/>
      <c r="D100" s="78">
        <v>0</v>
      </c>
      <c r="E100" s="78">
        <v>0</v>
      </c>
      <c r="F100" s="78">
        <v>0</v>
      </c>
      <c r="G100" s="88"/>
      <c r="H100" s="88"/>
      <c r="I100" s="88"/>
      <c r="J100" s="88"/>
    </row>
    <row r="101" spans="1:10" ht="15">
      <c r="A101" s="11" t="s">
        <v>18</v>
      </c>
      <c r="B101" s="89"/>
      <c r="C101" s="88"/>
      <c r="D101" s="78"/>
      <c r="E101" s="78"/>
      <c r="F101" s="78"/>
      <c r="G101" s="88"/>
      <c r="H101" s="88"/>
      <c r="I101" s="88"/>
      <c r="J101" s="88"/>
    </row>
    <row r="102" spans="1:10" ht="15">
      <c r="A102" s="81" t="s">
        <v>149</v>
      </c>
      <c r="B102" s="82" t="s">
        <v>150</v>
      </c>
      <c r="C102" s="83">
        <v>0</v>
      </c>
      <c r="D102" s="84">
        <v>0</v>
      </c>
      <c r="E102" s="84">
        <v>0</v>
      </c>
      <c r="F102" s="84">
        <v>0</v>
      </c>
      <c r="G102" s="83">
        <v>0</v>
      </c>
      <c r="H102" s="83">
        <v>0</v>
      </c>
      <c r="I102" s="83">
        <v>0</v>
      </c>
      <c r="J102" s="83">
        <v>0</v>
      </c>
    </row>
    <row r="103" spans="1:10" ht="15">
      <c r="A103" s="11" t="s">
        <v>18</v>
      </c>
      <c r="B103" s="10"/>
      <c r="C103" s="85"/>
      <c r="D103" s="86"/>
      <c r="E103" s="86"/>
      <c r="F103" s="86"/>
      <c r="G103" s="85"/>
      <c r="H103" s="85"/>
      <c r="I103" s="85"/>
      <c r="J103" s="85"/>
    </row>
    <row r="104" spans="1:10" ht="15">
      <c r="A104" s="11" t="s">
        <v>151</v>
      </c>
      <c r="B104" s="11" t="s">
        <v>152</v>
      </c>
      <c r="C104" s="88">
        <v>0</v>
      </c>
      <c r="D104" s="78">
        <v>0</v>
      </c>
      <c r="E104" s="78">
        <v>0</v>
      </c>
      <c r="F104" s="78">
        <v>0</v>
      </c>
      <c r="G104" s="88">
        <v>0</v>
      </c>
      <c r="H104" s="88"/>
      <c r="I104" s="88"/>
      <c r="J104" s="88"/>
    </row>
    <row r="105" spans="1:10" ht="15">
      <c r="A105" s="11" t="s">
        <v>153</v>
      </c>
      <c r="B105" s="11" t="s">
        <v>154</v>
      </c>
      <c r="C105" s="88">
        <v>0</v>
      </c>
      <c r="D105" s="78">
        <v>92587</v>
      </c>
      <c r="E105" s="78">
        <v>92587</v>
      </c>
      <c r="F105" s="78">
        <v>92587</v>
      </c>
      <c r="G105" s="88">
        <v>0</v>
      </c>
      <c r="H105" s="88"/>
      <c r="I105" s="88"/>
      <c r="J105" s="88"/>
    </row>
    <row r="106" spans="1:10" ht="15">
      <c r="A106" s="11" t="s">
        <v>18</v>
      </c>
      <c r="B106" s="11"/>
      <c r="C106" s="88"/>
      <c r="D106" s="78"/>
      <c r="E106" s="78"/>
      <c r="F106" s="78"/>
      <c r="G106" s="88"/>
      <c r="H106" s="88"/>
      <c r="I106" s="88"/>
      <c r="J106" s="88"/>
    </row>
    <row r="107" spans="1:10" ht="15">
      <c r="A107" s="11" t="s">
        <v>155</v>
      </c>
      <c r="B107" s="87" t="s">
        <v>156</v>
      </c>
      <c r="C107" s="88">
        <v>7500000</v>
      </c>
      <c r="D107" s="78">
        <v>7560254</v>
      </c>
      <c r="E107" s="78">
        <v>60254</v>
      </c>
      <c r="F107" s="78">
        <v>7560254</v>
      </c>
      <c r="G107" s="88">
        <v>0</v>
      </c>
      <c r="H107" s="88"/>
      <c r="I107" s="88"/>
      <c r="J107" s="88"/>
    </row>
    <row r="108" spans="1:10" ht="15">
      <c r="A108" s="11"/>
      <c r="B108" s="87"/>
      <c r="C108" s="88"/>
      <c r="D108" s="78">
        <v>0</v>
      </c>
      <c r="E108" s="78">
        <v>0</v>
      </c>
      <c r="F108" s="78">
        <v>0</v>
      </c>
      <c r="G108" s="88"/>
      <c r="H108" s="88"/>
      <c r="I108" s="88"/>
      <c r="J108" s="88"/>
    </row>
    <row r="109" spans="1:10" ht="15">
      <c r="A109" s="11" t="s">
        <v>157</v>
      </c>
      <c r="B109" s="87" t="s">
        <v>617</v>
      </c>
      <c r="C109" s="88">
        <v>0</v>
      </c>
      <c r="D109" s="78">
        <v>0</v>
      </c>
      <c r="E109" s="78">
        <v>0</v>
      </c>
      <c r="F109" s="78">
        <v>0</v>
      </c>
      <c r="G109" s="88">
        <v>0</v>
      </c>
      <c r="H109" s="88"/>
      <c r="I109" s="88"/>
      <c r="J109" s="88"/>
    </row>
    <row r="110" spans="1:10" ht="15">
      <c r="A110" s="11" t="s">
        <v>158</v>
      </c>
      <c r="B110" s="87" t="s">
        <v>159</v>
      </c>
      <c r="C110" s="88">
        <v>0</v>
      </c>
      <c r="D110" s="78">
        <v>0</v>
      </c>
      <c r="E110" s="78">
        <v>0</v>
      </c>
      <c r="F110" s="78">
        <v>0</v>
      </c>
      <c r="G110" s="88">
        <v>0</v>
      </c>
      <c r="H110" s="88"/>
      <c r="I110" s="88"/>
      <c r="J110" s="88"/>
    </row>
    <row r="111" spans="1:10" ht="15">
      <c r="A111" s="11"/>
      <c r="B111" s="87"/>
      <c r="C111" s="88"/>
      <c r="D111" s="78">
        <v>0</v>
      </c>
      <c r="E111" s="78">
        <v>0</v>
      </c>
      <c r="F111" s="78">
        <v>0</v>
      </c>
      <c r="G111" s="88"/>
      <c r="H111" s="88"/>
      <c r="I111" s="88"/>
      <c r="J111" s="88"/>
    </row>
    <row r="112" spans="1:10" ht="15">
      <c r="A112" s="11" t="s">
        <v>160</v>
      </c>
      <c r="B112" s="87" t="s">
        <v>161</v>
      </c>
      <c r="C112" s="88">
        <v>0</v>
      </c>
      <c r="D112" s="78">
        <v>400000</v>
      </c>
      <c r="E112" s="78">
        <v>400000</v>
      </c>
      <c r="F112" s="78">
        <v>400000</v>
      </c>
      <c r="G112" s="88">
        <v>0</v>
      </c>
      <c r="H112" s="88">
        <v>0</v>
      </c>
      <c r="I112" s="88"/>
      <c r="J112" s="88"/>
    </row>
    <row r="113" spans="1:11" ht="15">
      <c r="A113" s="11" t="s">
        <v>618</v>
      </c>
      <c r="B113" s="87" t="s">
        <v>619</v>
      </c>
      <c r="C113" s="88">
        <v>1000000</v>
      </c>
      <c r="D113" s="78">
        <v>1000000</v>
      </c>
      <c r="E113" s="78">
        <v>0</v>
      </c>
      <c r="F113" s="78">
        <v>1000000</v>
      </c>
      <c r="G113" s="88">
        <v>0</v>
      </c>
      <c r="H113" s="88">
        <v>0</v>
      </c>
      <c r="I113" s="88"/>
      <c r="J113" s="88"/>
      <c r="K113" s="69"/>
    </row>
    <row r="114" spans="1:11" ht="15">
      <c r="A114" s="11" t="s">
        <v>164</v>
      </c>
      <c r="B114" s="87" t="s">
        <v>165</v>
      </c>
      <c r="C114" s="88">
        <v>62000</v>
      </c>
      <c r="D114" s="78">
        <v>62000</v>
      </c>
      <c r="E114" s="78">
        <v>0</v>
      </c>
      <c r="F114" s="78">
        <v>62000</v>
      </c>
      <c r="G114" s="88">
        <v>0</v>
      </c>
      <c r="H114" s="88">
        <v>0</v>
      </c>
      <c r="I114" s="88"/>
      <c r="J114" s="88"/>
      <c r="K114" s="69"/>
    </row>
    <row r="115" spans="1:11" ht="15">
      <c r="A115" s="11" t="s">
        <v>166</v>
      </c>
      <c r="B115" s="87" t="s">
        <v>167</v>
      </c>
      <c r="C115" s="88">
        <v>470000</v>
      </c>
      <c r="D115" s="78">
        <v>820000</v>
      </c>
      <c r="E115" s="78">
        <v>350000</v>
      </c>
      <c r="F115" s="78">
        <v>820000</v>
      </c>
      <c r="G115" s="88">
        <v>200000</v>
      </c>
      <c r="H115" s="88">
        <v>0</v>
      </c>
      <c r="I115" s="88"/>
      <c r="J115" s="88"/>
      <c r="K115" s="69"/>
    </row>
    <row r="116" spans="1:11" ht="15">
      <c r="A116" s="11" t="s">
        <v>168</v>
      </c>
      <c r="B116" s="87" t="s">
        <v>169</v>
      </c>
      <c r="C116" s="88">
        <v>0</v>
      </c>
      <c r="D116" s="78">
        <v>0</v>
      </c>
      <c r="E116" s="78">
        <v>0</v>
      </c>
      <c r="F116" s="78">
        <v>0</v>
      </c>
      <c r="G116" s="88">
        <v>0</v>
      </c>
      <c r="H116" s="88">
        <v>0</v>
      </c>
      <c r="I116" s="88"/>
      <c r="J116" s="88"/>
      <c r="K116" s="69"/>
    </row>
    <row r="117" spans="1:11" ht="15">
      <c r="A117" s="11" t="s">
        <v>170</v>
      </c>
      <c r="B117" s="87" t="s">
        <v>171</v>
      </c>
      <c r="C117" s="88">
        <v>60000</v>
      </c>
      <c r="D117" s="78">
        <v>60000</v>
      </c>
      <c r="E117" s="78">
        <v>0</v>
      </c>
      <c r="F117" s="78">
        <v>60000</v>
      </c>
      <c r="G117" s="88">
        <v>54000</v>
      </c>
      <c r="H117" s="88">
        <v>60000</v>
      </c>
      <c r="I117" s="88"/>
      <c r="J117" s="88"/>
      <c r="K117" s="3"/>
    </row>
    <row r="118" spans="1:11" ht="15.75" thickBot="1">
      <c r="A118" s="11" t="s">
        <v>172</v>
      </c>
      <c r="B118" s="87" t="s">
        <v>173</v>
      </c>
      <c r="C118" s="88">
        <v>48000</v>
      </c>
      <c r="D118" s="78">
        <v>48000</v>
      </c>
      <c r="E118" s="78">
        <v>0</v>
      </c>
      <c r="F118" s="78">
        <v>48000</v>
      </c>
      <c r="G118" s="88">
        <v>48000</v>
      </c>
      <c r="H118" s="88">
        <v>48000</v>
      </c>
      <c r="I118" s="88"/>
      <c r="J118" s="88"/>
      <c r="K118" s="3"/>
    </row>
    <row r="119" spans="1:11" ht="15.75" thickBot="1">
      <c r="A119" s="11" t="s">
        <v>174</v>
      </c>
      <c r="B119" s="87" t="s">
        <v>175</v>
      </c>
      <c r="C119" s="88">
        <v>13000</v>
      </c>
      <c r="D119" s="78">
        <v>13000</v>
      </c>
      <c r="E119" s="78">
        <v>0</v>
      </c>
      <c r="F119" s="91">
        <v>13000</v>
      </c>
      <c r="G119" s="92">
        <v>12000</v>
      </c>
      <c r="H119" s="93">
        <v>12000</v>
      </c>
      <c r="I119" s="88"/>
      <c r="J119" s="88"/>
      <c r="K119" s="3"/>
    </row>
    <row r="120" spans="1:11" ht="15">
      <c r="A120" s="11" t="s">
        <v>176</v>
      </c>
      <c r="B120" s="87" t="s">
        <v>620</v>
      </c>
      <c r="C120" s="88">
        <v>100000</v>
      </c>
      <c r="D120" s="78">
        <v>190000</v>
      </c>
      <c r="E120" s="78">
        <v>90000</v>
      </c>
      <c r="F120" s="78">
        <v>190000</v>
      </c>
      <c r="G120" s="88">
        <v>50000</v>
      </c>
      <c r="H120" s="88">
        <v>50000</v>
      </c>
      <c r="I120" s="88"/>
      <c r="J120" s="88"/>
      <c r="K120" s="3"/>
    </row>
    <row r="121" spans="1:11" ht="15">
      <c r="A121" s="11" t="s">
        <v>18</v>
      </c>
      <c r="B121" s="11"/>
      <c r="C121" s="88"/>
      <c r="D121" s="78"/>
      <c r="E121" s="78"/>
      <c r="F121" s="78"/>
      <c r="G121" s="88"/>
      <c r="H121" s="88"/>
      <c r="I121" s="88"/>
      <c r="J121" s="88"/>
      <c r="K121" s="3"/>
    </row>
    <row r="122" spans="1:11" ht="15">
      <c r="A122" s="81" t="s">
        <v>19</v>
      </c>
      <c r="B122" s="82" t="s">
        <v>178</v>
      </c>
      <c r="C122" s="83">
        <v>9253000</v>
      </c>
      <c r="D122" s="84">
        <v>10245841</v>
      </c>
      <c r="E122" s="84">
        <v>992841</v>
      </c>
      <c r="F122" s="84">
        <v>10245841</v>
      </c>
      <c r="G122" s="83">
        <v>364000</v>
      </c>
      <c r="H122" s="83">
        <v>170000</v>
      </c>
      <c r="I122" s="83">
        <v>0</v>
      </c>
      <c r="J122" s="83">
        <v>0</v>
      </c>
      <c r="K122" s="9"/>
    </row>
    <row r="123" spans="1:11" ht="15">
      <c r="A123" s="11" t="s">
        <v>18</v>
      </c>
      <c r="B123" s="10"/>
      <c r="C123" s="85"/>
      <c r="D123" s="86"/>
      <c r="E123" s="86"/>
      <c r="F123" s="86"/>
      <c r="G123" s="85"/>
      <c r="H123" s="85"/>
      <c r="I123" s="85"/>
      <c r="J123" s="85"/>
      <c r="K123" s="10"/>
    </row>
    <row r="124" spans="1:11" ht="15">
      <c r="A124" s="11" t="s">
        <v>179</v>
      </c>
      <c r="B124" s="11" t="s">
        <v>180</v>
      </c>
      <c r="C124" s="88">
        <v>0</v>
      </c>
      <c r="D124" s="78">
        <v>0</v>
      </c>
      <c r="E124" s="78">
        <v>0</v>
      </c>
      <c r="F124" s="78">
        <v>0</v>
      </c>
      <c r="G124" s="88">
        <v>0</v>
      </c>
      <c r="H124" s="88"/>
      <c r="I124" s="88"/>
      <c r="J124" s="88"/>
      <c r="K124" s="3"/>
    </row>
    <row r="125" spans="1:11" ht="15">
      <c r="A125" s="11" t="s">
        <v>181</v>
      </c>
      <c r="B125" s="11" t="s">
        <v>182</v>
      </c>
      <c r="C125" s="88">
        <v>0</v>
      </c>
      <c r="D125" s="78">
        <v>135000</v>
      </c>
      <c r="E125" s="78">
        <v>135000</v>
      </c>
      <c r="F125" s="78">
        <v>135000</v>
      </c>
      <c r="G125" s="88">
        <v>0</v>
      </c>
      <c r="H125" s="88"/>
      <c r="I125" s="88"/>
      <c r="J125" s="88"/>
      <c r="K125" s="3"/>
    </row>
    <row r="126" spans="1:11" ht="15">
      <c r="A126" s="11" t="s">
        <v>183</v>
      </c>
      <c r="B126" s="11" t="s">
        <v>184</v>
      </c>
      <c r="C126" s="88">
        <v>0</v>
      </c>
      <c r="D126" s="78">
        <v>0</v>
      </c>
      <c r="E126" s="78">
        <v>0</v>
      </c>
      <c r="F126" s="78">
        <v>0</v>
      </c>
      <c r="G126" s="88">
        <v>0</v>
      </c>
      <c r="H126" s="88"/>
      <c r="I126" s="88"/>
      <c r="J126" s="88"/>
      <c r="K126" s="3"/>
    </row>
    <row r="127" spans="1:11" ht="15">
      <c r="A127" s="11"/>
      <c r="B127" s="11"/>
      <c r="C127" s="88"/>
      <c r="D127" s="78"/>
      <c r="E127" s="78"/>
      <c r="F127" s="78"/>
      <c r="G127" s="88"/>
      <c r="H127" s="88"/>
      <c r="I127" s="88"/>
      <c r="J127" s="88"/>
      <c r="K127" s="3"/>
    </row>
    <row r="128" spans="1:11" ht="15">
      <c r="A128" s="11" t="s">
        <v>185</v>
      </c>
      <c r="B128" s="87" t="s">
        <v>621</v>
      </c>
      <c r="C128" s="88">
        <v>2301000</v>
      </c>
      <c r="D128" s="78">
        <v>2385000</v>
      </c>
      <c r="E128" s="78">
        <v>84000</v>
      </c>
      <c r="F128" s="78">
        <v>2385000</v>
      </c>
      <c r="G128" s="88">
        <v>1991000</v>
      </c>
      <c r="H128" s="88">
        <v>1799000</v>
      </c>
      <c r="I128" s="88"/>
      <c r="J128" s="88"/>
      <c r="K128" s="94"/>
    </row>
    <row r="129" spans="1:10" ht="15">
      <c r="A129" s="11"/>
      <c r="B129" s="87"/>
      <c r="C129" s="88"/>
      <c r="D129" s="78"/>
      <c r="E129" s="78"/>
      <c r="F129" s="78"/>
      <c r="G129" s="88"/>
      <c r="H129" s="88"/>
      <c r="I129" s="88"/>
      <c r="J129" s="88"/>
    </row>
    <row r="130" spans="1:10" ht="15">
      <c r="A130" s="11" t="s">
        <v>187</v>
      </c>
      <c r="B130" s="87" t="s">
        <v>188</v>
      </c>
      <c r="C130" s="88">
        <v>0</v>
      </c>
      <c r="D130" s="78">
        <v>0</v>
      </c>
      <c r="E130" s="78">
        <v>0</v>
      </c>
      <c r="F130" s="78">
        <v>0</v>
      </c>
      <c r="G130" s="88">
        <v>0</v>
      </c>
      <c r="H130" s="88"/>
      <c r="I130" s="88"/>
      <c r="J130" s="88"/>
    </row>
    <row r="131" spans="1:10" ht="15">
      <c r="A131" s="11" t="s">
        <v>189</v>
      </c>
      <c r="B131" s="87" t="s">
        <v>190</v>
      </c>
      <c r="C131" s="88">
        <v>0</v>
      </c>
      <c r="D131" s="78">
        <v>0</v>
      </c>
      <c r="E131" s="78">
        <v>0</v>
      </c>
      <c r="F131" s="78">
        <v>0</v>
      </c>
      <c r="G131" s="88">
        <v>0</v>
      </c>
      <c r="H131" s="88"/>
      <c r="I131" s="88"/>
      <c r="J131" s="88"/>
    </row>
    <row r="132" spans="1:10" ht="15">
      <c r="A132" s="11" t="s">
        <v>191</v>
      </c>
      <c r="B132" s="95" t="s">
        <v>192</v>
      </c>
      <c r="C132" s="88">
        <v>0</v>
      </c>
      <c r="D132" s="78">
        <v>0</v>
      </c>
      <c r="E132" s="78">
        <v>0</v>
      </c>
      <c r="F132" s="78">
        <v>0</v>
      </c>
      <c r="G132" s="88">
        <v>0</v>
      </c>
      <c r="H132" s="88"/>
      <c r="I132" s="88"/>
      <c r="J132" s="88"/>
    </row>
    <row r="133" spans="1:10" ht="15">
      <c r="A133" s="11" t="s">
        <v>193</v>
      </c>
      <c r="B133" s="87" t="s">
        <v>194</v>
      </c>
      <c r="C133" s="88">
        <v>175000</v>
      </c>
      <c r="D133" s="78">
        <v>180000</v>
      </c>
      <c r="E133" s="78">
        <v>5000</v>
      </c>
      <c r="F133" s="78">
        <v>180000</v>
      </c>
      <c r="G133" s="88">
        <v>80000</v>
      </c>
      <c r="H133" s="88"/>
      <c r="I133" s="88"/>
      <c r="J133" s="88"/>
    </row>
    <row r="134" spans="1:10" ht="15">
      <c r="A134" s="11" t="s">
        <v>195</v>
      </c>
      <c r="B134" s="11" t="s">
        <v>196</v>
      </c>
      <c r="C134" s="88"/>
      <c r="D134" s="78">
        <v>0</v>
      </c>
      <c r="E134" s="78">
        <v>0</v>
      </c>
      <c r="F134" s="78">
        <v>0</v>
      </c>
      <c r="G134" s="88"/>
      <c r="H134" s="88"/>
      <c r="I134" s="88"/>
      <c r="J134" s="88"/>
    </row>
    <row r="135" spans="1:10" ht="15">
      <c r="A135" s="11" t="s">
        <v>197</v>
      </c>
      <c r="B135" s="11" t="s">
        <v>198</v>
      </c>
      <c r="C135" s="88"/>
      <c r="D135" s="78">
        <v>0</v>
      </c>
      <c r="E135" s="78">
        <v>0</v>
      </c>
      <c r="F135" s="78">
        <v>0</v>
      </c>
      <c r="G135" s="88"/>
      <c r="H135" s="88"/>
      <c r="I135" s="88"/>
      <c r="J135" s="88"/>
    </row>
    <row r="136" spans="1:10" ht="15">
      <c r="A136" s="11" t="s">
        <v>199</v>
      </c>
      <c r="B136" s="11" t="s">
        <v>200</v>
      </c>
      <c r="C136" s="88"/>
      <c r="D136" s="78">
        <v>0</v>
      </c>
      <c r="E136" s="78">
        <v>0</v>
      </c>
      <c r="F136" s="78">
        <v>0</v>
      </c>
      <c r="G136" s="88"/>
      <c r="H136" s="88"/>
      <c r="I136" s="88"/>
      <c r="J136" s="88"/>
    </row>
    <row r="137" spans="1:10" ht="15">
      <c r="A137" s="11" t="s">
        <v>18</v>
      </c>
      <c r="B137" s="11"/>
      <c r="C137" s="88"/>
      <c r="D137" s="78"/>
      <c r="E137" s="78"/>
      <c r="F137" s="78"/>
      <c r="G137" s="88"/>
      <c r="H137" s="88"/>
      <c r="I137" s="88"/>
      <c r="J137" s="88"/>
    </row>
    <row r="138" spans="1:10" ht="15">
      <c r="A138" s="81" t="s">
        <v>201</v>
      </c>
      <c r="B138" s="82" t="s">
        <v>202</v>
      </c>
      <c r="C138" s="83">
        <v>2476000</v>
      </c>
      <c r="D138" s="84">
        <v>2700000</v>
      </c>
      <c r="E138" s="84">
        <v>224000</v>
      </c>
      <c r="F138" s="84">
        <v>2700000</v>
      </c>
      <c r="G138" s="83">
        <v>2071000</v>
      </c>
      <c r="H138" s="83">
        <v>1799000</v>
      </c>
      <c r="I138" s="83">
        <v>0</v>
      </c>
      <c r="J138" s="83">
        <v>0</v>
      </c>
    </row>
    <row r="139" spans="1:10" ht="15">
      <c r="A139" s="11" t="s">
        <v>18</v>
      </c>
      <c r="B139" s="10"/>
      <c r="C139" s="85"/>
      <c r="D139" s="86"/>
      <c r="E139" s="86"/>
      <c r="F139" s="86"/>
      <c r="G139" s="85"/>
      <c r="H139" s="85"/>
      <c r="I139" s="85"/>
      <c r="J139" s="85"/>
    </row>
    <row r="140" spans="1:10" ht="15">
      <c r="A140" s="11" t="s">
        <v>203</v>
      </c>
      <c r="B140" s="87" t="s">
        <v>204</v>
      </c>
      <c r="C140" s="88">
        <v>200000</v>
      </c>
      <c r="D140" s="78">
        <v>200000</v>
      </c>
      <c r="E140" s="78">
        <v>0</v>
      </c>
      <c r="F140" s="78">
        <v>200000</v>
      </c>
      <c r="G140" s="88">
        <v>100000</v>
      </c>
      <c r="H140" s="88">
        <v>150000</v>
      </c>
      <c r="I140" s="88">
        <v>150000</v>
      </c>
      <c r="J140" s="88">
        <v>150000</v>
      </c>
    </row>
    <row r="141" spans="1:10" ht="15">
      <c r="A141" s="11" t="s">
        <v>205</v>
      </c>
      <c r="B141" s="87" t="s">
        <v>206</v>
      </c>
      <c r="C141" s="88">
        <v>0</v>
      </c>
      <c r="D141" s="78">
        <v>0</v>
      </c>
      <c r="E141" s="78">
        <v>0</v>
      </c>
      <c r="F141" s="78">
        <v>0</v>
      </c>
      <c r="G141" s="88">
        <v>0</v>
      </c>
      <c r="H141" s="88"/>
      <c r="I141" s="88"/>
      <c r="J141" s="88"/>
    </row>
    <row r="142" spans="1:10" ht="15">
      <c r="A142" s="11" t="s">
        <v>207</v>
      </c>
      <c r="B142" s="87" t="s">
        <v>208</v>
      </c>
      <c r="C142" s="88">
        <v>188574</v>
      </c>
      <c r="D142" s="78">
        <v>188574</v>
      </c>
      <c r="E142" s="78">
        <v>0</v>
      </c>
      <c r="F142" s="78">
        <v>188574</v>
      </c>
      <c r="G142" s="88">
        <v>177000</v>
      </c>
      <c r="H142" s="88">
        <v>177000</v>
      </c>
      <c r="I142" s="88">
        <v>177000</v>
      </c>
      <c r="J142" s="88">
        <v>177000</v>
      </c>
    </row>
    <row r="143" spans="1:10" ht="15">
      <c r="A143" s="11" t="s">
        <v>18</v>
      </c>
      <c r="B143" s="11"/>
      <c r="C143" s="88"/>
      <c r="D143" s="78"/>
      <c r="E143" s="78"/>
      <c r="F143" s="78"/>
      <c r="G143" s="88"/>
      <c r="H143" s="88"/>
      <c r="I143" s="88"/>
      <c r="J143" s="88"/>
    </row>
    <row r="144" spans="1:10" ht="15">
      <c r="A144" s="81" t="s">
        <v>209</v>
      </c>
      <c r="B144" s="82" t="s">
        <v>622</v>
      </c>
      <c r="C144" s="83">
        <v>388574</v>
      </c>
      <c r="D144" s="84">
        <v>388574</v>
      </c>
      <c r="E144" s="84">
        <v>0</v>
      </c>
      <c r="F144" s="84">
        <v>388574</v>
      </c>
      <c r="G144" s="83">
        <v>277000</v>
      </c>
      <c r="H144" s="83">
        <v>327000</v>
      </c>
      <c r="I144" s="83">
        <v>327000</v>
      </c>
      <c r="J144" s="83">
        <v>327000</v>
      </c>
    </row>
    <row r="145" spans="1:10" ht="15">
      <c r="A145" s="11" t="s">
        <v>18</v>
      </c>
      <c r="B145" s="10"/>
      <c r="C145" s="85"/>
      <c r="D145" s="86"/>
      <c r="E145" s="86"/>
      <c r="F145" s="86"/>
      <c r="G145" s="85"/>
      <c r="H145" s="85"/>
      <c r="I145" s="85"/>
      <c r="J145" s="85"/>
    </row>
    <row r="146" spans="1:10" ht="15">
      <c r="A146" s="11"/>
      <c r="B146" s="96" t="s">
        <v>623</v>
      </c>
      <c r="C146" s="85"/>
      <c r="D146" s="86"/>
      <c r="E146" s="86"/>
      <c r="F146" s="86"/>
      <c r="G146" s="85"/>
      <c r="H146" s="85"/>
      <c r="I146" s="85"/>
      <c r="J146" s="85"/>
    </row>
    <row r="147" spans="1:10" ht="15">
      <c r="A147" s="11"/>
      <c r="B147" s="87" t="s">
        <v>334</v>
      </c>
      <c r="C147" s="88">
        <v>350000</v>
      </c>
      <c r="D147" s="78"/>
      <c r="E147" s="78"/>
      <c r="F147" s="78">
        <v>350000</v>
      </c>
      <c r="G147" s="88">
        <v>0</v>
      </c>
      <c r="H147" s="88">
        <v>0</v>
      </c>
      <c r="I147" s="88">
        <v>0</v>
      </c>
      <c r="J147" s="88">
        <v>0</v>
      </c>
    </row>
    <row r="148" spans="1:10" ht="15">
      <c r="A148" s="11"/>
      <c r="B148" s="87" t="s">
        <v>624</v>
      </c>
      <c r="C148" s="88">
        <v>19887</v>
      </c>
      <c r="D148" s="78"/>
      <c r="E148" s="78"/>
      <c r="F148" s="78">
        <v>19887</v>
      </c>
      <c r="G148" s="88">
        <v>0</v>
      </c>
      <c r="H148" s="88">
        <v>0</v>
      </c>
      <c r="I148" s="88">
        <v>0</v>
      </c>
      <c r="J148" s="88">
        <v>0</v>
      </c>
    </row>
    <row r="149" spans="1:10" ht="15">
      <c r="A149" s="11"/>
      <c r="B149" s="87" t="s">
        <v>625</v>
      </c>
      <c r="C149" s="88">
        <v>44375</v>
      </c>
      <c r="D149" s="78"/>
      <c r="E149" s="78"/>
      <c r="F149" s="78">
        <v>44375</v>
      </c>
      <c r="G149" s="88">
        <v>0</v>
      </c>
      <c r="H149" s="88">
        <v>0</v>
      </c>
      <c r="I149" s="88">
        <v>0</v>
      </c>
      <c r="J149" s="88">
        <v>0</v>
      </c>
    </row>
    <row r="150" spans="1:10" ht="15">
      <c r="A150" s="11"/>
      <c r="B150" s="87" t="s">
        <v>626</v>
      </c>
      <c r="C150" s="88">
        <v>60000</v>
      </c>
      <c r="D150" s="78"/>
      <c r="E150" s="78"/>
      <c r="F150" s="78">
        <v>60000</v>
      </c>
      <c r="G150" s="88">
        <v>0</v>
      </c>
      <c r="H150" s="88">
        <v>0</v>
      </c>
      <c r="I150" s="88">
        <v>0</v>
      </c>
      <c r="J150" s="88">
        <v>0</v>
      </c>
    </row>
    <row r="151" spans="1:10" ht="15">
      <c r="A151" s="11"/>
      <c r="B151" s="87" t="s">
        <v>627</v>
      </c>
      <c r="C151" s="88">
        <v>60000</v>
      </c>
      <c r="D151" s="78"/>
      <c r="E151" s="78"/>
      <c r="F151" s="78">
        <v>60000</v>
      </c>
      <c r="G151" s="88">
        <v>0</v>
      </c>
      <c r="H151" s="88">
        <v>0</v>
      </c>
      <c r="I151" s="88">
        <v>0</v>
      </c>
      <c r="J151" s="88">
        <v>0</v>
      </c>
    </row>
    <row r="152" spans="1:10" ht="15">
      <c r="A152" s="11"/>
      <c r="B152" s="87" t="s">
        <v>628</v>
      </c>
      <c r="C152" s="88">
        <v>184703</v>
      </c>
      <c r="D152" s="78"/>
      <c r="E152" s="78"/>
      <c r="F152" s="78">
        <v>184703</v>
      </c>
      <c r="G152" s="88">
        <v>0</v>
      </c>
      <c r="H152" s="88">
        <v>0</v>
      </c>
      <c r="I152" s="88">
        <v>0</v>
      </c>
      <c r="J152" s="88">
        <v>0</v>
      </c>
    </row>
    <row r="153" spans="1:10" ht="15">
      <c r="A153" s="11"/>
      <c r="B153" s="87" t="s">
        <v>629</v>
      </c>
      <c r="C153" s="88">
        <v>3300</v>
      </c>
      <c r="D153" s="78"/>
      <c r="E153" s="78"/>
      <c r="F153" s="78">
        <v>3300</v>
      </c>
      <c r="G153" s="88">
        <v>0</v>
      </c>
      <c r="H153" s="88">
        <v>0</v>
      </c>
      <c r="I153" s="88">
        <v>0</v>
      </c>
      <c r="J153" s="88">
        <v>0</v>
      </c>
    </row>
    <row r="154" spans="1:10" ht="15">
      <c r="A154" s="11"/>
      <c r="B154" s="87" t="s">
        <v>630</v>
      </c>
      <c r="C154" s="88">
        <v>1560</v>
      </c>
      <c r="D154" s="78"/>
      <c r="E154" s="78"/>
      <c r="F154" s="78">
        <v>1560</v>
      </c>
      <c r="G154" s="88">
        <v>0</v>
      </c>
      <c r="H154" s="88">
        <v>0</v>
      </c>
      <c r="I154" s="88">
        <v>0</v>
      </c>
      <c r="J154" s="88">
        <v>0</v>
      </c>
    </row>
    <row r="155" spans="1:10" ht="15">
      <c r="A155" s="11"/>
      <c r="B155" s="87" t="s">
        <v>631</v>
      </c>
      <c r="C155" s="88">
        <v>217225</v>
      </c>
      <c r="D155" s="78"/>
      <c r="E155" s="78"/>
      <c r="F155" s="78">
        <v>217225</v>
      </c>
      <c r="G155" s="88">
        <v>0</v>
      </c>
      <c r="H155" s="88">
        <v>0</v>
      </c>
      <c r="I155" s="88">
        <v>0</v>
      </c>
      <c r="J155" s="88">
        <v>0</v>
      </c>
    </row>
    <row r="156" spans="1:10" ht="15">
      <c r="A156" s="11"/>
      <c r="B156" s="87" t="s">
        <v>632</v>
      </c>
      <c r="C156" s="88">
        <v>14635</v>
      </c>
      <c r="D156" s="78"/>
      <c r="E156" s="78"/>
      <c r="F156" s="78">
        <v>14635</v>
      </c>
      <c r="G156" s="88">
        <v>0</v>
      </c>
      <c r="H156" s="88">
        <v>0</v>
      </c>
      <c r="I156" s="88">
        <v>0</v>
      </c>
      <c r="J156" s="88">
        <v>0</v>
      </c>
    </row>
    <row r="157" spans="1:10" ht="15">
      <c r="A157" s="11"/>
      <c r="B157" s="87" t="s">
        <v>633</v>
      </c>
      <c r="C157" s="88">
        <v>0</v>
      </c>
      <c r="D157" s="78"/>
      <c r="E157" s="78"/>
      <c r="F157" s="78">
        <v>0</v>
      </c>
      <c r="G157" s="88">
        <v>1830</v>
      </c>
      <c r="H157" s="88">
        <v>0</v>
      </c>
      <c r="I157" s="88">
        <v>0</v>
      </c>
      <c r="J157" s="88">
        <v>0</v>
      </c>
    </row>
    <row r="158" spans="1:10" ht="15">
      <c r="A158" s="11"/>
      <c r="B158" s="87" t="s">
        <v>634</v>
      </c>
      <c r="C158" s="88">
        <v>177700</v>
      </c>
      <c r="D158" s="78"/>
      <c r="E158" s="78"/>
      <c r="F158" s="78">
        <v>177700</v>
      </c>
      <c r="G158" s="88">
        <v>209250</v>
      </c>
      <c r="H158" s="88">
        <v>0</v>
      </c>
      <c r="I158" s="88">
        <v>453000</v>
      </c>
      <c r="J158" s="88">
        <v>500000</v>
      </c>
    </row>
    <row r="159" spans="1:10" ht="15">
      <c r="A159" s="11"/>
      <c r="B159" s="87" t="s">
        <v>430</v>
      </c>
      <c r="C159" s="88">
        <v>80000</v>
      </c>
      <c r="D159" s="78"/>
      <c r="E159" s="78"/>
      <c r="F159" s="78">
        <v>80000</v>
      </c>
      <c r="G159" s="88">
        <v>350000</v>
      </c>
      <c r="H159" s="88">
        <v>350000</v>
      </c>
      <c r="I159" s="88">
        <v>350000</v>
      </c>
      <c r="J159" s="88">
        <v>350000</v>
      </c>
    </row>
    <row r="160" spans="1:10" ht="15">
      <c r="A160" s="11"/>
      <c r="B160" s="87" t="s">
        <v>432</v>
      </c>
      <c r="C160" s="88">
        <v>100000</v>
      </c>
      <c r="D160" s="78"/>
      <c r="E160" s="78"/>
      <c r="F160" s="78">
        <v>100000</v>
      </c>
      <c r="G160" s="88">
        <v>0</v>
      </c>
      <c r="H160" s="88">
        <v>0</v>
      </c>
      <c r="I160" s="88">
        <v>0</v>
      </c>
      <c r="J160" s="88">
        <v>0</v>
      </c>
    </row>
    <row r="161" spans="1:10" ht="15">
      <c r="A161" s="11"/>
      <c r="B161" s="87" t="s">
        <v>635</v>
      </c>
      <c r="C161" s="88">
        <v>50000</v>
      </c>
      <c r="D161" s="78"/>
      <c r="E161" s="78"/>
      <c r="F161" s="78">
        <v>50000</v>
      </c>
      <c r="G161" s="88">
        <v>0</v>
      </c>
      <c r="H161" s="88">
        <v>0</v>
      </c>
      <c r="I161" s="88">
        <v>0</v>
      </c>
      <c r="J161" s="88">
        <v>0</v>
      </c>
    </row>
    <row r="162" spans="1:10" ht="15">
      <c r="A162" s="11"/>
      <c r="B162" s="87" t="s">
        <v>313</v>
      </c>
      <c r="C162" s="88">
        <v>500000</v>
      </c>
      <c r="D162" s="78"/>
      <c r="E162" s="78"/>
      <c r="F162" s="78">
        <v>500000</v>
      </c>
      <c r="G162" s="88">
        <v>3200000</v>
      </c>
      <c r="H162" s="88">
        <v>0</v>
      </c>
      <c r="I162" s="88">
        <v>0</v>
      </c>
      <c r="J162" s="88">
        <v>0</v>
      </c>
    </row>
    <row r="163" spans="1:10" ht="15">
      <c r="A163" s="11"/>
      <c r="B163" s="97" t="s">
        <v>636</v>
      </c>
      <c r="C163" s="88">
        <v>0</v>
      </c>
      <c r="D163" s="78"/>
      <c r="E163" s="78"/>
      <c r="F163" s="78">
        <v>0</v>
      </c>
      <c r="G163" s="88">
        <v>200000</v>
      </c>
      <c r="H163" s="88">
        <v>0</v>
      </c>
      <c r="I163" s="88">
        <v>0</v>
      </c>
      <c r="J163" s="88">
        <v>0</v>
      </c>
    </row>
    <row r="164" spans="1:10" ht="15">
      <c r="A164" s="11"/>
      <c r="B164" s="97" t="s">
        <v>637</v>
      </c>
      <c r="C164" s="88">
        <v>0</v>
      </c>
      <c r="D164" s="78"/>
      <c r="E164" s="78"/>
      <c r="F164" s="78">
        <v>0</v>
      </c>
      <c r="G164" s="88">
        <v>200000</v>
      </c>
      <c r="H164" s="88">
        <v>0</v>
      </c>
      <c r="I164" s="88">
        <v>0</v>
      </c>
      <c r="J164" s="88">
        <v>0</v>
      </c>
    </row>
    <row r="165" spans="1:10" ht="15">
      <c r="A165" s="11"/>
      <c r="B165" s="97" t="s">
        <v>638</v>
      </c>
      <c r="C165" s="88">
        <v>600000</v>
      </c>
      <c r="D165" s="78"/>
      <c r="E165" s="78"/>
      <c r="F165" s="78">
        <v>600000</v>
      </c>
      <c r="G165" s="88">
        <v>300000</v>
      </c>
      <c r="H165" s="88">
        <v>250000</v>
      </c>
      <c r="I165" s="88">
        <v>850000</v>
      </c>
      <c r="J165" s="88">
        <v>750000</v>
      </c>
    </row>
    <row r="166" spans="1:10" ht="15">
      <c r="A166" s="11"/>
      <c r="B166" s="97" t="s">
        <v>639</v>
      </c>
      <c r="C166" s="88">
        <v>550000</v>
      </c>
      <c r="D166" s="78"/>
      <c r="E166" s="78"/>
      <c r="F166" s="78">
        <v>550000</v>
      </c>
      <c r="G166" s="88">
        <v>0</v>
      </c>
      <c r="H166" s="88">
        <v>0</v>
      </c>
      <c r="I166" s="88">
        <v>0</v>
      </c>
      <c r="J166" s="88">
        <v>0</v>
      </c>
    </row>
    <row r="167" spans="1:10" ht="15">
      <c r="A167" s="11"/>
      <c r="B167" s="97" t="s">
        <v>640</v>
      </c>
      <c r="C167" s="88">
        <v>0</v>
      </c>
      <c r="D167" s="78"/>
      <c r="E167" s="78"/>
      <c r="F167" s="78">
        <v>0</v>
      </c>
      <c r="G167" s="88">
        <v>0</v>
      </c>
      <c r="H167" s="88">
        <v>28000</v>
      </c>
      <c r="I167" s="88">
        <v>0</v>
      </c>
      <c r="J167" s="88">
        <v>0</v>
      </c>
    </row>
    <row r="168" spans="1:10" ht="15">
      <c r="A168" s="11"/>
      <c r="B168" s="97" t="s">
        <v>367</v>
      </c>
      <c r="C168" s="88"/>
      <c r="D168" s="78"/>
      <c r="E168" s="78"/>
      <c r="F168" s="78">
        <v>0</v>
      </c>
      <c r="G168" s="88"/>
      <c r="H168" s="88">
        <v>50000</v>
      </c>
      <c r="I168" s="88">
        <v>50000</v>
      </c>
      <c r="J168" s="88">
        <v>50000</v>
      </c>
    </row>
    <row r="169" spans="1:10" ht="15">
      <c r="A169" s="11"/>
      <c r="B169" s="97" t="s">
        <v>364</v>
      </c>
      <c r="C169" s="88">
        <v>15000</v>
      </c>
      <c r="D169" s="78"/>
      <c r="E169" s="78"/>
      <c r="F169" s="78">
        <v>15000</v>
      </c>
      <c r="G169" s="88">
        <v>0</v>
      </c>
      <c r="H169" s="88">
        <v>0</v>
      </c>
      <c r="I169" s="88">
        <v>0</v>
      </c>
      <c r="J169" s="88">
        <v>0</v>
      </c>
    </row>
    <row r="170" spans="1:10" ht="15">
      <c r="A170" s="11"/>
      <c r="B170" s="97" t="s">
        <v>641</v>
      </c>
      <c r="C170" s="88">
        <v>25000</v>
      </c>
      <c r="D170" s="78"/>
      <c r="E170" s="78"/>
      <c r="F170" s="78">
        <v>25000</v>
      </c>
      <c r="G170" s="88">
        <v>0</v>
      </c>
      <c r="H170" s="88">
        <v>0</v>
      </c>
      <c r="I170" s="88">
        <v>0</v>
      </c>
      <c r="J170" s="88">
        <v>0</v>
      </c>
    </row>
    <row r="171" spans="1:10" ht="15">
      <c r="A171" s="11"/>
      <c r="B171" s="97" t="s">
        <v>360</v>
      </c>
      <c r="C171" s="88">
        <v>25000</v>
      </c>
      <c r="D171" s="78"/>
      <c r="E171" s="78"/>
      <c r="F171" s="78">
        <v>25000</v>
      </c>
      <c r="G171" s="88">
        <v>0</v>
      </c>
      <c r="H171" s="88">
        <v>0</v>
      </c>
      <c r="I171" s="88">
        <v>0</v>
      </c>
      <c r="J171" s="88">
        <v>0</v>
      </c>
    </row>
    <row r="172" spans="1:10" ht="15">
      <c r="A172" s="11"/>
      <c r="B172" s="97" t="s">
        <v>642</v>
      </c>
      <c r="C172" s="88">
        <v>15000</v>
      </c>
      <c r="D172" s="78"/>
      <c r="E172" s="78"/>
      <c r="F172" s="78">
        <v>15000</v>
      </c>
      <c r="G172" s="88">
        <v>0</v>
      </c>
      <c r="H172" s="88">
        <v>0</v>
      </c>
      <c r="I172" s="88">
        <v>0</v>
      </c>
      <c r="J172" s="88">
        <v>0</v>
      </c>
    </row>
    <row r="173" spans="1:10" ht="15">
      <c r="A173" s="11"/>
      <c r="B173" s="97" t="s">
        <v>394</v>
      </c>
      <c r="C173" s="88">
        <v>325000</v>
      </c>
      <c r="D173" s="78"/>
      <c r="E173" s="78"/>
      <c r="F173" s="78">
        <v>325000</v>
      </c>
      <c r="G173" s="88"/>
      <c r="H173" s="88"/>
      <c r="I173" s="88"/>
      <c r="J173" s="88">
        <v>0</v>
      </c>
    </row>
    <row r="174" spans="1:10" ht="15">
      <c r="A174" s="11"/>
      <c r="B174" s="97" t="s">
        <v>643</v>
      </c>
      <c r="C174" s="88">
        <v>100000</v>
      </c>
      <c r="D174" s="78"/>
      <c r="E174" s="78"/>
      <c r="F174" s="78">
        <v>100000</v>
      </c>
      <c r="G174" s="88">
        <v>100000</v>
      </c>
      <c r="H174" s="88">
        <v>50000</v>
      </c>
      <c r="I174" s="88">
        <v>50000</v>
      </c>
      <c r="J174" s="88">
        <v>50000</v>
      </c>
    </row>
    <row r="175" spans="1:10" ht="15">
      <c r="A175" s="11"/>
      <c r="B175" s="97" t="s">
        <v>644</v>
      </c>
      <c r="C175" s="88">
        <v>0</v>
      </c>
      <c r="D175" s="78"/>
      <c r="E175" s="78"/>
      <c r="F175" s="78">
        <v>0</v>
      </c>
      <c r="G175" s="88">
        <v>0</v>
      </c>
      <c r="H175" s="88">
        <v>50000</v>
      </c>
      <c r="I175" s="88">
        <v>450000</v>
      </c>
      <c r="J175" s="88">
        <v>0</v>
      </c>
    </row>
    <row r="176" spans="1:10" ht="15">
      <c r="A176" s="11"/>
      <c r="B176" s="97" t="s">
        <v>645</v>
      </c>
      <c r="C176" s="88">
        <v>25000</v>
      </c>
      <c r="D176" s="78"/>
      <c r="E176" s="78"/>
      <c r="F176" s="78">
        <v>25000</v>
      </c>
      <c r="G176" s="88">
        <v>0</v>
      </c>
      <c r="H176" s="88">
        <v>0</v>
      </c>
      <c r="I176" s="88">
        <v>0</v>
      </c>
      <c r="J176" s="88">
        <v>0</v>
      </c>
    </row>
    <row r="177" spans="1:11" ht="15">
      <c r="A177" s="11"/>
      <c r="B177" s="97" t="s">
        <v>342</v>
      </c>
      <c r="C177" s="88">
        <v>200000</v>
      </c>
      <c r="D177" s="78"/>
      <c r="E177" s="78"/>
      <c r="F177" s="78">
        <v>200000</v>
      </c>
      <c r="G177" s="88">
        <v>50000</v>
      </c>
      <c r="H177" s="88">
        <v>0</v>
      </c>
      <c r="I177" s="88">
        <v>0</v>
      </c>
      <c r="J177" s="88">
        <v>0</v>
      </c>
      <c r="K177" s="10"/>
    </row>
    <row r="178" spans="1:11" ht="15">
      <c r="A178" s="11"/>
      <c r="B178" s="97" t="s">
        <v>646</v>
      </c>
      <c r="C178" s="88">
        <v>150000</v>
      </c>
      <c r="D178" s="78"/>
      <c r="E178" s="78"/>
      <c r="F178" s="78">
        <v>150000</v>
      </c>
      <c r="G178" s="88">
        <v>0</v>
      </c>
      <c r="H178" s="88">
        <v>0</v>
      </c>
      <c r="I178" s="88">
        <v>0</v>
      </c>
      <c r="J178" s="88">
        <v>0</v>
      </c>
      <c r="K178" s="10"/>
    </row>
    <row r="179" spans="1:11" ht="15">
      <c r="A179" s="11"/>
      <c r="B179" s="97" t="s">
        <v>396</v>
      </c>
      <c r="C179" s="88">
        <v>25000</v>
      </c>
      <c r="D179" s="78"/>
      <c r="E179" s="78"/>
      <c r="F179" s="78">
        <v>25000</v>
      </c>
      <c r="G179" s="88">
        <v>0</v>
      </c>
      <c r="H179" s="88">
        <v>0</v>
      </c>
      <c r="I179" s="88">
        <v>0</v>
      </c>
      <c r="J179" s="88">
        <v>0</v>
      </c>
      <c r="K179" s="10"/>
    </row>
    <row r="180" spans="1:11" ht="15">
      <c r="A180" s="11"/>
      <c r="B180" s="97" t="s">
        <v>647</v>
      </c>
      <c r="C180" s="88">
        <v>0</v>
      </c>
      <c r="D180" s="78"/>
      <c r="E180" s="78"/>
      <c r="F180" s="78">
        <v>0</v>
      </c>
      <c r="G180" s="88">
        <v>12000</v>
      </c>
      <c r="H180" s="88">
        <v>12000</v>
      </c>
      <c r="I180" s="88">
        <v>12000</v>
      </c>
      <c r="J180" s="88">
        <v>0</v>
      </c>
      <c r="K180" s="10"/>
    </row>
    <row r="181" spans="1:11" ht="15">
      <c r="A181" s="11"/>
      <c r="B181" s="97" t="s">
        <v>356</v>
      </c>
      <c r="C181" s="88">
        <v>98000</v>
      </c>
      <c r="D181" s="78"/>
      <c r="E181" s="78"/>
      <c r="F181" s="78">
        <v>98000</v>
      </c>
      <c r="G181" s="88"/>
      <c r="H181" s="88">
        <v>0</v>
      </c>
      <c r="I181" s="88">
        <v>0</v>
      </c>
      <c r="J181" s="88">
        <v>0</v>
      </c>
      <c r="K181" s="10"/>
    </row>
    <row r="182" spans="1:11" ht="15">
      <c r="A182" s="11"/>
      <c r="B182" s="97" t="s">
        <v>338</v>
      </c>
      <c r="C182" s="88">
        <v>125000</v>
      </c>
      <c r="D182" s="78"/>
      <c r="E182" s="78"/>
      <c r="F182" s="78">
        <v>125000</v>
      </c>
      <c r="G182" s="88">
        <v>125000</v>
      </c>
      <c r="H182" s="88">
        <v>0</v>
      </c>
      <c r="I182" s="88">
        <v>0</v>
      </c>
      <c r="J182" s="88">
        <v>0</v>
      </c>
      <c r="K182" s="10"/>
    </row>
    <row r="183" spans="1:11" ht="15">
      <c r="A183" s="11"/>
      <c r="B183" s="97" t="s">
        <v>648</v>
      </c>
      <c r="C183" s="88">
        <v>70000</v>
      </c>
      <c r="D183" s="78"/>
      <c r="E183" s="78"/>
      <c r="F183" s="78">
        <v>70000</v>
      </c>
      <c r="G183" s="88"/>
      <c r="H183" s="88"/>
      <c r="I183" s="88"/>
      <c r="J183" s="88"/>
      <c r="K183" s="10"/>
    </row>
    <row r="184" spans="1:11" ht="15">
      <c r="A184" s="11"/>
      <c r="B184" s="97" t="s">
        <v>398</v>
      </c>
      <c r="C184" s="88">
        <v>18000</v>
      </c>
      <c r="D184" s="78"/>
      <c r="E184" s="78"/>
      <c r="F184" s="78">
        <v>18000</v>
      </c>
      <c r="G184" s="88"/>
      <c r="H184" s="88"/>
      <c r="I184" s="88"/>
      <c r="J184" s="88"/>
      <c r="K184" s="10"/>
    </row>
    <row r="185" spans="1:11" ht="15">
      <c r="A185" s="11"/>
      <c r="B185" s="97" t="s">
        <v>649</v>
      </c>
      <c r="C185" s="88"/>
      <c r="D185" s="78"/>
      <c r="E185" s="78"/>
      <c r="F185" s="78">
        <v>0</v>
      </c>
      <c r="G185" s="88">
        <v>50000</v>
      </c>
      <c r="H185" s="88"/>
      <c r="I185" s="88"/>
      <c r="J185" s="88"/>
      <c r="K185" s="10"/>
    </row>
    <row r="186" spans="1:11" ht="15">
      <c r="A186" s="11"/>
      <c r="B186" s="97" t="s">
        <v>650</v>
      </c>
      <c r="C186" s="88"/>
      <c r="D186" s="78"/>
      <c r="E186" s="78"/>
      <c r="F186" s="78">
        <v>0</v>
      </c>
      <c r="G186" s="88">
        <v>50000</v>
      </c>
      <c r="H186" s="88"/>
      <c r="I186" s="88"/>
      <c r="J186" s="88"/>
      <c r="K186" s="10"/>
    </row>
    <row r="187" spans="1:11" ht="15">
      <c r="A187" s="11"/>
      <c r="B187" s="97" t="s">
        <v>651</v>
      </c>
      <c r="C187" s="88">
        <v>5000</v>
      </c>
      <c r="D187" s="78"/>
      <c r="E187" s="78"/>
      <c r="F187" s="78">
        <v>5000</v>
      </c>
      <c r="G187" s="88"/>
      <c r="H187" s="88"/>
      <c r="I187" s="88"/>
      <c r="J187" s="88"/>
      <c r="K187" s="10"/>
    </row>
    <row r="188" spans="1:11" ht="15">
      <c r="A188" s="11"/>
      <c r="B188" s="97" t="s">
        <v>307</v>
      </c>
      <c r="C188" s="88">
        <v>10000</v>
      </c>
      <c r="D188" s="78"/>
      <c r="E188" s="78"/>
      <c r="F188" s="78">
        <v>10000</v>
      </c>
      <c r="G188" s="88"/>
      <c r="H188" s="88"/>
      <c r="I188" s="88"/>
      <c r="J188" s="88"/>
      <c r="K188" s="10"/>
    </row>
    <row r="189" spans="1:11" ht="15">
      <c r="A189" s="11"/>
      <c r="B189" s="97" t="s">
        <v>309</v>
      </c>
      <c r="C189" s="88">
        <v>0</v>
      </c>
      <c r="D189" s="78"/>
      <c r="E189" s="78"/>
      <c r="F189" s="78">
        <v>200000</v>
      </c>
      <c r="G189" s="88"/>
      <c r="H189" s="88"/>
      <c r="I189" s="88"/>
      <c r="J189" s="88"/>
      <c r="K189" s="10"/>
    </row>
    <row r="190" spans="1:11" ht="15">
      <c r="A190" s="11"/>
      <c r="B190" s="97"/>
      <c r="C190" s="88"/>
      <c r="D190" s="78"/>
      <c r="E190" s="78"/>
      <c r="F190" s="78">
        <v>200000</v>
      </c>
      <c r="G190" s="88"/>
      <c r="H190" s="88"/>
      <c r="I190" s="88"/>
      <c r="J190" s="88"/>
      <c r="K190" s="10"/>
    </row>
    <row r="191" spans="1:11" ht="15">
      <c r="A191" s="11"/>
      <c r="B191" s="97"/>
      <c r="C191" s="88"/>
      <c r="D191" s="78"/>
      <c r="E191" s="78"/>
      <c r="F191" s="78"/>
      <c r="G191" s="88"/>
      <c r="H191" s="88"/>
      <c r="I191" s="88"/>
      <c r="J191" s="88"/>
      <c r="K191" s="10"/>
    </row>
    <row r="192" spans="1:11" ht="15">
      <c r="A192" s="81"/>
      <c r="B192" s="82" t="s">
        <v>623</v>
      </c>
      <c r="C192" s="83">
        <v>4244385</v>
      </c>
      <c r="D192" s="84">
        <v>0</v>
      </c>
      <c r="E192" s="84">
        <v>0</v>
      </c>
      <c r="F192" s="84">
        <v>4644385</v>
      </c>
      <c r="G192" s="83">
        <v>4848080</v>
      </c>
      <c r="H192" s="83">
        <v>790000</v>
      </c>
      <c r="I192" s="83">
        <v>2215000</v>
      </c>
      <c r="J192" s="83">
        <v>1700000</v>
      </c>
      <c r="K192" s="98"/>
    </row>
    <row r="193" spans="1:19" ht="15">
      <c r="A193" s="11"/>
      <c r="B193" s="10"/>
      <c r="C193" s="85"/>
      <c r="D193" s="86"/>
      <c r="E193" s="86"/>
      <c r="F193" s="86"/>
      <c r="G193" s="85"/>
      <c r="H193" s="85"/>
      <c r="I193" s="85"/>
      <c r="J193" s="85"/>
      <c r="K193" s="10"/>
      <c r="L193" s="10"/>
      <c r="M193" s="10"/>
      <c r="N193" s="10"/>
      <c r="O193" s="10"/>
      <c r="P193" s="10"/>
      <c r="Q193" s="10"/>
      <c r="R193" s="10"/>
      <c r="S193" s="10"/>
    </row>
    <row r="194" spans="1:19" ht="15">
      <c r="A194" s="81" t="s">
        <v>210</v>
      </c>
      <c r="B194" s="82" t="s">
        <v>652</v>
      </c>
      <c r="C194" s="83">
        <v>21130237</v>
      </c>
      <c r="D194" s="84">
        <v>19702621</v>
      </c>
      <c r="E194" s="84">
        <v>2816769</v>
      </c>
      <c r="F194" s="84">
        <v>24347006</v>
      </c>
      <c r="G194" s="83">
        <v>9906080</v>
      </c>
      <c r="H194" s="83">
        <v>4636000</v>
      </c>
      <c r="I194" s="83">
        <v>3182000</v>
      </c>
      <c r="J194" s="83">
        <v>2667000</v>
      </c>
      <c r="K194" s="98"/>
      <c r="L194" s="98"/>
      <c r="M194" s="24"/>
      <c r="N194" s="9"/>
      <c r="O194" s="9"/>
      <c r="P194" s="9"/>
      <c r="Q194" s="9"/>
      <c r="R194" s="9"/>
      <c r="S194" s="9"/>
    </row>
    <row r="195" spans="1:19" ht="15">
      <c r="A195" s="81"/>
      <c r="B195" s="82"/>
      <c r="C195" s="83"/>
      <c r="D195" s="84"/>
      <c r="E195" s="84"/>
      <c r="F195" s="99"/>
      <c r="G195" s="83"/>
      <c r="H195" s="83"/>
      <c r="I195" s="83"/>
      <c r="J195" s="83"/>
      <c r="K195" s="98"/>
      <c r="L195" s="98"/>
      <c r="M195" s="24"/>
      <c r="N195" s="9"/>
      <c r="O195" s="9"/>
      <c r="P195" s="9"/>
      <c r="Q195" s="9"/>
      <c r="R195" s="9"/>
      <c r="S195" s="9"/>
    </row>
    <row r="196" spans="1:19" ht="15">
      <c r="A196" s="81"/>
      <c r="B196" s="82"/>
      <c r="C196" s="83" t="s">
        <v>653</v>
      </c>
      <c r="D196" s="84"/>
      <c r="E196" s="84"/>
      <c r="F196" s="99">
        <v>4444385</v>
      </c>
      <c r="G196" s="83"/>
      <c r="H196" s="83"/>
      <c r="I196" s="83"/>
      <c r="J196" s="83"/>
      <c r="K196" s="98"/>
      <c r="L196" s="98"/>
      <c r="M196" s="24"/>
      <c r="N196" s="9"/>
      <c r="O196" s="9"/>
      <c r="P196" s="9"/>
      <c r="Q196" s="9"/>
      <c r="R196" s="9"/>
      <c r="S196" s="9"/>
    </row>
    <row r="197" spans="1:19" ht="15">
      <c r="A197" s="81"/>
      <c r="B197" s="82"/>
      <c r="C197" s="83" t="s">
        <v>654</v>
      </c>
      <c r="D197" s="84"/>
      <c r="E197" s="84"/>
      <c r="F197" s="99">
        <v>10656621</v>
      </c>
      <c r="G197" s="83"/>
      <c r="H197" s="83"/>
      <c r="I197" s="83"/>
      <c r="J197" s="83"/>
      <c r="K197" s="98"/>
      <c r="L197" s="98"/>
      <c r="M197" s="24"/>
      <c r="N197" s="9"/>
      <c r="O197" s="9"/>
      <c r="P197" s="9"/>
      <c r="Q197" s="9"/>
      <c r="R197" s="9"/>
      <c r="S197" s="9"/>
    </row>
    <row r="198" spans="1:19" ht="15">
      <c r="A198" s="81"/>
      <c r="B198" s="82"/>
      <c r="C198" s="83" t="s">
        <v>655</v>
      </c>
      <c r="D198" s="99"/>
      <c r="E198" s="99"/>
      <c r="F198" s="99">
        <v>9046000</v>
      </c>
      <c r="G198" s="83"/>
      <c r="H198" s="83"/>
      <c r="I198" s="83"/>
      <c r="J198" s="83"/>
      <c r="K198" s="98"/>
      <c r="L198" s="98"/>
      <c r="M198" s="24"/>
      <c r="N198" s="9"/>
      <c r="O198" s="9"/>
      <c r="P198" s="9"/>
      <c r="Q198" s="9"/>
      <c r="R198" s="9"/>
      <c r="S198" s="9"/>
    </row>
    <row r="199" spans="1:19" ht="15">
      <c r="A199" s="81"/>
      <c r="B199" s="82"/>
      <c r="C199" s="83"/>
      <c r="D199" s="99"/>
      <c r="E199" s="99"/>
      <c r="F199" s="99">
        <v>200000</v>
      </c>
      <c r="G199" s="83"/>
      <c r="H199" s="83"/>
      <c r="I199" s="83"/>
      <c r="J199" s="83"/>
      <c r="K199" s="98"/>
      <c r="L199" s="98"/>
      <c r="M199" s="24"/>
      <c r="N199" s="9"/>
      <c r="O199" s="9"/>
      <c r="P199" s="9"/>
      <c r="Q199" s="9"/>
      <c r="R199" s="9"/>
      <c r="S199" s="9"/>
    </row>
    <row r="200" spans="1:19" ht="15">
      <c r="A200" s="81"/>
      <c r="B200" s="82"/>
      <c r="C200" s="83"/>
      <c r="D200" s="99">
        <v>19702621</v>
      </c>
      <c r="E200" s="99">
        <v>2828343</v>
      </c>
      <c r="F200" s="100">
        <v>24347006</v>
      </c>
      <c r="G200" s="83"/>
      <c r="H200" s="83"/>
      <c r="I200" s="83"/>
      <c r="J200" s="83"/>
      <c r="K200" s="98"/>
      <c r="L200" s="98"/>
      <c r="M200" s="24"/>
      <c r="N200" s="9"/>
      <c r="O200" s="9"/>
      <c r="P200" s="9"/>
      <c r="Q200" s="9"/>
      <c r="R200" s="9"/>
      <c r="S200" s="9"/>
    </row>
    <row r="201" spans="1:19" ht="15">
      <c r="A201" s="81"/>
      <c r="B201" s="96"/>
      <c r="C201" s="101"/>
      <c r="D201" s="101">
        <v>0</v>
      </c>
      <c r="E201" s="101">
        <v>-11574</v>
      </c>
      <c r="F201" s="101"/>
      <c r="G201" s="101"/>
      <c r="H201" s="101"/>
      <c r="I201" s="101"/>
      <c r="J201" s="101"/>
      <c r="K201" s="98"/>
      <c r="L201" s="98"/>
      <c r="M201" s="24"/>
      <c r="N201" s="24"/>
      <c r="O201" s="24"/>
      <c r="P201" s="24"/>
      <c r="Q201" s="24"/>
      <c r="R201" s="24"/>
      <c r="S201" s="24"/>
    </row>
    <row r="202" spans="1:19" ht="15">
      <c r="A202" s="11" t="s">
        <v>212</v>
      </c>
      <c r="B202" s="10" t="s">
        <v>213</v>
      </c>
      <c r="C202" s="85"/>
      <c r="D202" s="85"/>
      <c r="E202" s="85"/>
      <c r="F202" s="85"/>
      <c r="G202" s="85"/>
      <c r="H202" s="85"/>
      <c r="I202" s="85"/>
      <c r="J202" s="85"/>
      <c r="K202" s="102"/>
      <c r="L202" s="10"/>
      <c r="M202" s="102"/>
      <c r="N202" s="10"/>
      <c r="O202" s="10"/>
      <c r="P202" s="102"/>
      <c r="Q202" s="10"/>
      <c r="R202" s="10"/>
      <c r="S202" s="102"/>
    </row>
    <row r="203" spans="1:19" ht="15">
      <c r="A203" s="11" t="s">
        <v>214</v>
      </c>
      <c r="B203" s="11" t="s">
        <v>572</v>
      </c>
      <c r="C203" s="88">
        <v>500000</v>
      </c>
      <c r="D203" s="88"/>
      <c r="E203" s="88"/>
      <c r="F203" s="78">
        <v>500000</v>
      </c>
      <c r="G203" s="88">
        <v>1500000</v>
      </c>
      <c r="H203" s="88">
        <v>1500000</v>
      </c>
      <c r="I203" s="88">
        <v>1500000</v>
      </c>
      <c r="J203" s="88">
        <v>1500000</v>
      </c>
      <c r="K203" s="102"/>
      <c r="L203" s="7"/>
      <c r="M203" s="7"/>
      <c r="N203" s="7"/>
      <c r="O203" s="7"/>
      <c r="P203" s="7"/>
      <c r="Q203" s="7"/>
      <c r="R203" s="7"/>
      <c r="S203" s="7"/>
    </row>
    <row r="204" spans="1:19" ht="15">
      <c r="A204" s="11" t="s">
        <v>216</v>
      </c>
      <c r="B204" s="11" t="s">
        <v>217</v>
      </c>
      <c r="C204" s="88">
        <v>210000</v>
      </c>
      <c r="D204" s="88"/>
      <c r="E204" s="88"/>
      <c r="F204" s="78">
        <v>210000</v>
      </c>
      <c r="G204" s="88">
        <v>210000</v>
      </c>
      <c r="H204" s="88">
        <v>210000</v>
      </c>
      <c r="I204" s="88">
        <v>210000</v>
      </c>
      <c r="J204" s="88">
        <v>210000</v>
      </c>
      <c r="K204" s="102"/>
      <c r="L204" s="7"/>
      <c r="M204" s="7"/>
      <c r="N204" s="7"/>
      <c r="O204" s="7"/>
      <c r="P204" s="7"/>
      <c r="Q204" s="7"/>
      <c r="R204" s="7"/>
      <c r="S204" s="7"/>
    </row>
    <row r="205" spans="1:19" ht="15">
      <c r="A205" s="11" t="s">
        <v>218</v>
      </c>
      <c r="B205" s="11" t="s">
        <v>219</v>
      </c>
      <c r="C205" s="88">
        <v>200000</v>
      </c>
      <c r="D205" s="88"/>
      <c r="E205" s="88"/>
      <c r="F205" s="78">
        <v>200000</v>
      </c>
      <c r="G205" s="88">
        <v>200000</v>
      </c>
      <c r="H205" s="88">
        <v>200000</v>
      </c>
      <c r="I205" s="88">
        <v>200000</v>
      </c>
      <c r="J205" s="88">
        <v>200000</v>
      </c>
      <c r="K205" s="102"/>
      <c r="L205" s="7"/>
      <c r="M205" s="7"/>
      <c r="N205" s="7"/>
      <c r="O205" s="7"/>
      <c r="P205" s="7"/>
      <c r="Q205" s="7"/>
      <c r="R205" s="7"/>
      <c r="S205" s="7"/>
    </row>
    <row r="206" spans="1:19" ht="15">
      <c r="A206" s="11" t="s">
        <v>220</v>
      </c>
      <c r="B206" s="11" t="s">
        <v>221</v>
      </c>
      <c r="C206" s="88">
        <v>250000</v>
      </c>
      <c r="D206" s="88"/>
      <c r="E206" s="88"/>
      <c r="F206" s="78">
        <v>250000</v>
      </c>
      <c r="G206" s="88">
        <v>250000</v>
      </c>
      <c r="H206" s="88">
        <v>250000</v>
      </c>
      <c r="I206" s="88">
        <v>250000</v>
      </c>
      <c r="J206" s="88">
        <v>250000</v>
      </c>
      <c r="K206" s="102"/>
      <c r="L206" s="7"/>
      <c r="M206" s="7"/>
      <c r="N206" s="7"/>
      <c r="O206" s="7"/>
      <c r="P206" s="7"/>
      <c r="Q206" s="7"/>
      <c r="R206" s="7"/>
      <c r="S206" s="7"/>
    </row>
    <row r="207" spans="1:19" ht="15">
      <c r="A207" s="11" t="s">
        <v>222</v>
      </c>
      <c r="B207" s="11" t="s">
        <v>223</v>
      </c>
      <c r="C207" s="88">
        <v>0</v>
      </c>
      <c r="D207" s="88"/>
      <c r="E207" s="88"/>
      <c r="F207" s="78">
        <v>0</v>
      </c>
      <c r="G207" s="88">
        <v>0</v>
      </c>
      <c r="H207" s="88"/>
      <c r="I207" s="88"/>
      <c r="J207" s="88"/>
      <c r="K207" s="102"/>
      <c r="L207" s="7"/>
      <c r="M207" s="7"/>
      <c r="N207" s="7"/>
      <c r="O207" s="7"/>
      <c r="P207" s="7"/>
      <c r="Q207" s="7"/>
      <c r="R207" s="7"/>
      <c r="S207" s="7"/>
    </row>
    <row r="208" spans="1:19" ht="15">
      <c r="A208" s="11" t="s">
        <v>224</v>
      </c>
      <c r="B208" s="11" t="s">
        <v>225</v>
      </c>
      <c r="C208" s="88">
        <v>19000</v>
      </c>
      <c r="D208" s="88"/>
      <c r="E208" s="88"/>
      <c r="F208" s="78">
        <v>19000</v>
      </c>
      <c r="G208" s="88">
        <v>19000</v>
      </c>
      <c r="H208" s="88">
        <v>19000</v>
      </c>
      <c r="I208" s="88">
        <v>19000</v>
      </c>
      <c r="J208" s="88">
        <v>19000</v>
      </c>
      <c r="K208" s="102"/>
      <c r="L208" s="7"/>
      <c r="M208" s="7"/>
      <c r="N208" s="7"/>
      <c r="O208" s="7"/>
      <c r="P208" s="7"/>
      <c r="Q208" s="7"/>
      <c r="R208" s="7"/>
      <c r="S208" s="7"/>
    </row>
    <row r="209" spans="1:11" ht="15">
      <c r="A209" s="11"/>
      <c r="B209" s="11"/>
      <c r="C209" s="88"/>
      <c r="D209" s="88"/>
      <c r="E209" s="88"/>
      <c r="F209" s="78">
        <v>0</v>
      </c>
      <c r="G209" s="88"/>
      <c r="H209" s="88"/>
      <c r="I209" s="88"/>
      <c r="J209" s="88"/>
      <c r="K209" s="102"/>
    </row>
    <row r="210" spans="1:11" ht="15">
      <c r="A210" s="11" t="s">
        <v>226</v>
      </c>
      <c r="B210" s="11" t="s">
        <v>227</v>
      </c>
      <c r="C210" s="88">
        <v>250000</v>
      </c>
      <c r="D210" s="88"/>
      <c r="E210" s="88"/>
      <c r="F210" s="78">
        <v>250000</v>
      </c>
      <c r="G210" s="88">
        <v>250000</v>
      </c>
      <c r="H210" s="88">
        <v>250000</v>
      </c>
      <c r="I210" s="88">
        <v>250000</v>
      </c>
      <c r="J210" s="88">
        <v>250000</v>
      </c>
      <c r="K210" s="102"/>
    </row>
    <row r="211" spans="1:11" ht="15">
      <c r="A211" s="11" t="s">
        <v>228</v>
      </c>
      <c r="B211" s="11" t="s">
        <v>229</v>
      </c>
      <c r="C211" s="88">
        <v>90000</v>
      </c>
      <c r="D211" s="88"/>
      <c r="E211" s="88"/>
      <c r="F211" s="78">
        <v>90000</v>
      </c>
      <c r="G211" s="88">
        <v>90000</v>
      </c>
      <c r="H211" s="88">
        <v>90000</v>
      </c>
      <c r="I211" s="88">
        <v>90000</v>
      </c>
      <c r="J211" s="88">
        <v>90000</v>
      </c>
      <c r="K211" s="102"/>
    </row>
    <row r="212" spans="1:11" ht="15">
      <c r="A212" s="11" t="s">
        <v>230</v>
      </c>
      <c r="B212" s="11" t="s">
        <v>231</v>
      </c>
      <c r="C212" s="88">
        <v>150000</v>
      </c>
      <c r="D212" s="88"/>
      <c r="E212" s="88"/>
      <c r="F212" s="78">
        <v>150000</v>
      </c>
      <c r="G212" s="88">
        <v>150000</v>
      </c>
      <c r="H212" s="88">
        <v>150000</v>
      </c>
      <c r="I212" s="88">
        <v>150000</v>
      </c>
      <c r="J212" s="88">
        <v>150000</v>
      </c>
      <c r="K212" s="102"/>
    </row>
    <row r="213" spans="1:11" ht="15">
      <c r="A213" s="11" t="s">
        <v>232</v>
      </c>
      <c r="B213" s="11" t="s">
        <v>233</v>
      </c>
      <c r="C213" s="88">
        <v>125000</v>
      </c>
      <c r="D213" s="88"/>
      <c r="E213" s="88"/>
      <c r="F213" s="78">
        <v>125000</v>
      </c>
      <c r="G213" s="88">
        <v>125000</v>
      </c>
      <c r="H213" s="88">
        <v>125000</v>
      </c>
      <c r="I213" s="88">
        <v>125000</v>
      </c>
      <c r="J213" s="88">
        <v>125000</v>
      </c>
      <c r="K213" s="102"/>
    </row>
    <row r="214" spans="1:11" ht="15">
      <c r="A214" s="11" t="s">
        <v>234</v>
      </c>
      <c r="B214" s="11" t="s">
        <v>235</v>
      </c>
      <c r="C214" s="88">
        <v>0</v>
      </c>
      <c r="D214" s="88"/>
      <c r="E214" s="88"/>
      <c r="F214" s="78">
        <v>0</v>
      </c>
      <c r="G214" s="88">
        <v>0</v>
      </c>
      <c r="H214" s="88"/>
      <c r="I214" s="88"/>
      <c r="J214" s="88"/>
      <c r="K214" s="102"/>
    </row>
    <row r="215" spans="1:11" ht="15">
      <c r="A215" s="11" t="s">
        <v>236</v>
      </c>
      <c r="B215" s="11" t="s">
        <v>237</v>
      </c>
      <c r="C215" s="88">
        <v>0</v>
      </c>
      <c r="D215" s="88"/>
      <c r="E215" s="88"/>
      <c r="F215" s="78">
        <v>0</v>
      </c>
      <c r="G215" s="88">
        <v>0</v>
      </c>
      <c r="H215" s="88"/>
      <c r="I215" s="88"/>
      <c r="J215" s="88"/>
      <c r="K215" s="102"/>
    </row>
    <row r="216" spans="1:11" ht="15">
      <c r="A216" s="11" t="s">
        <v>238</v>
      </c>
      <c r="B216" s="11" t="s">
        <v>239</v>
      </c>
      <c r="C216" s="88"/>
      <c r="D216" s="88"/>
      <c r="E216" s="88"/>
      <c r="F216" s="78">
        <v>0</v>
      </c>
      <c r="G216" s="88"/>
      <c r="H216" s="88"/>
      <c r="I216" s="88"/>
      <c r="J216" s="88"/>
      <c r="K216" s="102"/>
    </row>
    <row r="217" spans="1:11" ht="15">
      <c r="A217" s="11" t="s">
        <v>240</v>
      </c>
      <c r="B217" s="11" t="s">
        <v>241</v>
      </c>
      <c r="C217" s="88">
        <v>117000</v>
      </c>
      <c r="D217" s="88"/>
      <c r="E217" s="88"/>
      <c r="F217" s="78">
        <v>117000</v>
      </c>
      <c r="G217" s="88">
        <v>117000</v>
      </c>
      <c r="H217" s="88">
        <v>117000</v>
      </c>
      <c r="I217" s="88">
        <v>117000</v>
      </c>
      <c r="J217" s="88">
        <v>117000</v>
      </c>
      <c r="K217" s="102"/>
    </row>
    <row r="218" spans="1:11" ht="15">
      <c r="A218" s="11" t="s">
        <v>242</v>
      </c>
      <c r="B218" s="11" t="s">
        <v>243</v>
      </c>
      <c r="C218" s="88">
        <v>150000</v>
      </c>
      <c r="D218" s="88"/>
      <c r="E218" s="88"/>
      <c r="F218" s="78">
        <v>150000</v>
      </c>
      <c r="G218" s="88">
        <v>150000</v>
      </c>
      <c r="H218" s="88">
        <v>150000</v>
      </c>
      <c r="I218" s="88">
        <v>150000</v>
      </c>
      <c r="J218" s="88">
        <v>150000</v>
      </c>
      <c r="K218" s="102"/>
    </row>
    <row r="219" spans="1:11" ht="15">
      <c r="A219" s="11" t="s">
        <v>244</v>
      </c>
      <c r="B219" s="11" t="s">
        <v>245</v>
      </c>
      <c r="C219" s="88">
        <v>100000</v>
      </c>
      <c r="D219" s="88"/>
      <c r="E219" s="88"/>
      <c r="F219" s="78">
        <v>100000</v>
      </c>
      <c r="G219" s="88">
        <v>100000</v>
      </c>
      <c r="H219" s="88">
        <v>100000</v>
      </c>
      <c r="I219" s="88">
        <v>100000</v>
      </c>
      <c r="J219" s="88">
        <v>100000</v>
      </c>
      <c r="K219" s="102"/>
    </row>
    <row r="220" spans="1:11" ht="15">
      <c r="A220" s="11" t="s">
        <v>656</v>
      </c>
      <c r="B220" s="11" t="s">
        <v>657</v>
      </c>
      <c r="C220" s="88"/>
      <c r="D220" s="88"/>
      <c r="E220" s="88"/>
      <c r="F220" s="78">
        <v>0</v>
      </c>
      <c r="G220" s="88"/>
      <c r="H220" s="88"/>
      <c r="I220" s="88"/>
      <c r="J220" s="88"/>
      <c r="K220" s="102"/>
    </row>
    <row r="221" spans="1:11" ht="15">
      <c r="A221" s="11" t="s">
        <v>658</v>
      </c>
      <c r="B221" s="11" t="s">
        <v>659</v>
      </c>
      <c r="C221" s="88"/>
      <c r="D221" s="88"/>
      <c r="E221" s="88"/>
      <c r="F221" s="78">
        <v>0</v>
      </c>
      <c r="G221" s="88"/>
      <c r="H221" s="88"/>
      <c r="I221" s="88"/>
      <c r="J221" s="88"/>
      <c r="K221" s="102"/>
    </row>
    <row r="222" spans="1:11" ht="15">
      <c r="A222" s="11"/>
      <c r="B222" s="11"/>
      <c r="C222" s="88"/>
      <c r="D222" s="88"/>
      <c r="E222" s="88"/>
      <c r="F222" s="78">
        <v>0</v>
      </c>
      <c r="G222" s="88"/>
      <c r="H222" s="88"/>
      <c r="I222" s="88"/>
      <c r="J222" s="88"/>
      <c r="K222" s="102"/>
    </row>
    <row r="223" spans="1:11" ht="15">
      <c r="A223" s="11" t="s">
        <v>246</v>
      </c>
      <c r="B223" s="10" t="s">
        <v>247</v>
      </c>
      <c r="C223" s="88"/>
      <c r="D223" s="88"/>
      <c r="E223" s="88"/>
      <c r="F223" s="78">
        <v>0</v>
      </c>
      <c r="G223" s="88"/>
      <c r="H223" s="88"/>
      <c r="I223" s="88"/>
      <c r="J223" s="88"/>
      <c r="K223" s="102"/>
    </row>
    <row r="224" spans="1:11" ht="15">
      <c r="A224" s="11" t="s">
        <v>248</v>
      </c>
      <c r="B224" s="11" t="s">
        <v>249</v>
      </c>
      <c r="C224" s="88">
        <v>0</v>
      </c>
      <c r="D224" s="88"/>
      <c r="E224" s="88"/>
      <c r="F224" s="78">
        <v>0</v>
      </c>
      <c r="G224" s="88">
        <v>0</v>
      </c>
      <c r="H224" s="88"/>
      <c r="I224" s="88"/>
      <c r="J224" s="88"/>
      <c r="K224" s="102"/>
    </row>
    <row r="225" spans="1:11" ht="15">
      <c r="A225" s="11" t="s">
        <v>250</v>
      </c>
      <c r="B225" s="11" t="s">
        <v>251</v>
      </c>
      <c r="C225" s="88">
        <v>0</v>
      </c>
      <c r="D225" s="88"/>
      <c r="E225" s="88"/>
      <c r="F225" s="78">
        <v>0</v>
      </c>
      <c r="G225" s="88">
        <v>0</v>
      </c>
      <c r="H225" s="88"/>
      <c r="I225" s="88"/>
      <c r="J225" s="88"/>
      <c r="K225" s="102"/>
    </row>
    <row r="226" spans="1:11" ht="15">
      <c r="A226" s="11" t="s">
        <v>660</v>
      </c>
      <c r="B226" s="11" t="s">
        <v>419</v>
      </c>
      <c r="C226" s="88"/>
      <c r="D226" s="88"/>
      <c r="E226" s="88"/>
      <c r="F226" s="78">
        <v>0</v>
      </c>
      <c r="G226" s="88"/>
      <c r="H226" s="88"/>
      <c r="I226" s="88"/>
      <c r="J226" s="88"/>
      <c r="K226" s="102"/>
    </row>
    <row r="227" spans="1:11" ht="15">
      <c r="A227" s="11"/>
      <c r="B227" s="11"/>
      <c r="C227" s="88"/>
      <c r="D227" s="88"/>
      <c r="E227" s="88"/>
      <c r="F227" s="78">
        <v>0</v>
      </c>
      <c r="G227" s="88"/>
      <c r="H227" s="88"/>
      <c r="I227" s="88"/>
      <c r="J227" s="88"/>
      <c r="K227" s="102"/>
    </row>
    <row r="228" spans="1:11" ht="15">
      <c r="A228" s="11" t="s">
        <v>254</v>
      </c>
      <c r="B228" s="10" t="s">
        <v>255</v>
      </c>
      <c r="C228" s="88"/>
      <c r="D228" s="88"/>
      <c r="E228" s="88"/>
      <c r="F228" s="78">
        <v>0</v>
      </c>
      <c r="G228" s="88"/>
      <c r="H228" s="88"/>
      <c r="I228" s="88"/>
      <c r="J228" s="88"/>
      <c r="K228" s="102"/>
    </row>
    <row r="229" spans="1:11" ht="15">
      <c r="A229" s="11"/>
      <c r="B229" s="11"/>
      <c r="C229" s="88"/>
      <c r="D229" s="88"/>
      <c r="E229" s="88"/>
      <c r="F229" s="78">
        <v>0</v>
      </c>
      <c r="G229" s="88"/>
      <c r="H229" s="88"/>
      <c r="I229" s="88"/>
      <c r="J229" s="88"/>
      <c r="K229" s="102"/>
    </row>
    <row r="230" spans="1:11" ht="15">
      <c r="A230" s="11" t="s">
        <v>256</v>
      </c>
      <c r="B230" s="11" t="s">
        <v>257</v>
      </c>
      <c r="C230" s="88">
        <v>900000</v>
      </c>
      <c r="D230" s="88"/>
      <c r="E230" s="88"/>
      <c r="F230" s="78">
        <v>900000</v>
      </c>
      <c r="G230" s="88">
        <v>900000</v>
      </c>
      <c r="H230" s="88">
        <v>900000</v>
      </c>
      <c r="I230" s="88">
        <v>900000</v>
      </c>
      <c r="J230" s="88">
        <v>900000</v>
      </c>
      <c r="K230" s="102"/>
    </row>
    <row r="231" spans="1:11" ht="15">
      <c r="A231" s="11" t="s">
        <v>258</v>
      </c>
      <c r="B231" s="11" t="s">
        <v>259</v>
      </c>
      <c r="C231" s="88">
        <v>2073000</v>
      </c>
      <c r="D231" s="88"/>
      <c r="E231" s="88"/>
      <c r="F231" s="78">
        <v>2073000</v>
      </c>
      <c r="G231" s="88">
        <v>2073000</v>
      </c>
      <c r="H231" s="88">
        <v>1892000</v>
      </c>
      <c r="I231" s="88">
        <v>1743000</v>
      </c>
      <c r="J231" s="88">
        <v>1594000</v>
      </c>
      <c r="K231" s="102"/>
    </row>
    <row r="232" spans="1:11" ht="15">
      <c r="A232" s="11" t="s">
        <v>260</v>
      </c>
      <c r="B232" s="11" t="s">
        <v>261</v>
      </c>
      <c r="C232" s="88">
        <v>1221000</v>
      </c>
      <c r="D232" s="88"/>
      <c r="E232" s="88"/>
      <c r="F232" s="78">
        <v>1221000</v>
      </c>
      <c r="G232" s="88">
        <v>1221000</v>
      </c>
      <c r="H232" s="88">
        <v>1187000</v>
      </c>
      <c r="I232" s="88">
        <v>1221000</v>
      </c>
      <c r="J232" s="88">
        <v>1187000</v>
      </c>
      <c r="K232" s="102"/>
    </row>
    <row r="233" spans="1:11" ht="15">
      <c r="A233" s="11" t="s">
        <v>262</v>
      </c>
      <c r="B233" s="11" t="s">
        <v>263</v>
      </c>
      <c r="C233" s="88">
        <v>820000</v>
      </c>
      <c r="D233" s="88"/>
      <c r="E233" s="88"/>
      <c r="F233" s="78">
        <v>820000</v>
      </c>
      <c r="G233" s="88">
        <v>800000</v>
      </c>
      <c r="H233" s="88">
        <v>776000</v>
      </c>
      <c r="I233" s="88">
        <v>716000</v>
      </c>
      <c r="J233" s="88">
        <v>750000</v>
      </c>
      <c r="K233" s="102"/>
    </row>
    <row r="234" spans="1:11" ht="15">
      <c r="A234" s="11" t="s">
        <v>264</v>
      </c>
      <c r="B234" s="11" t="s">
        <v>265</v>
      </c>
      <c r="C234" s="88">
        <v>785000</v>
      </c>
      <c r="D234" s="88"/>
      <c r="E234" s="88"/>
      <c r="F234" s="78">
        <v>785000</v>
      </c>
      <c r="G234" s="88">
        <v>726000</v>
      </c>
      <c r="H234" s="88">
        <v>666000</v>
      </c>
      <c r="I234" s="88">
        <v>607000</v>
      </c>
      <c r="J234" s="88">
        <v>547000</v>
      </c>
      <c r="K234" s="102"/>
    </row>
    <row r="235" spans="1:11" ht="15">
      <c r="A235" s="11"/>
      <c r="B235" s="11" t="s">
        <v>661</v>
      </c>
      <c r="C235" s="88"/>
      <c r="D235" s="88"/>
      <c r="E235" s="88"/>
      <c r="F235" s="78">
        <v>0</v>
      </c>
      <c r="G235" s="88"/>
      <c r="H235" s="88">
        <v>1500000</v>
      </c>
      <c r="I235" s="88"/>
      <c r="J235" s="88"/>
      <c r="K235" s="102"/>
    </row>
    <row r="236" spans="1:11" ht="15">
      <c r="A236" s="11"/>
      <c r="B236" s="11" t="s">
        <v>662</v>
      </c>
      <c r="C236" s="88">
        <v>11094000</v>
      </c>
      <c r="D236" s="88"/>
      <c r="E236" s="88"/>
      <c r="F236" s="78">
        <v>11094000</v>
      </c>
      <c r="G236" s="88">
        <v>12366000</v>
      </c>
      <c r="H236" s="88">
        <v>4228000</v>
      </c>
      <c r="I236" s="88">
        <v>14012000</v>
      </c>
      <c r="J236" s="88">
        <v>11513000</v>
      </c>
      <c r="K236" s="102"/>
    </row>
    <row r="237" spans="1:11" ht="15">
      <c r="A237" s="11"/>
      <c r="B237" s="11"/>
      <c r="C237" s="88"/>
      <c r="D237" s="88"/>
      <c r="E237" s="88"/>
      <c r="F237" s="78"/>
      <c r="G237" s="88"/>
      <c r="H237" s="88"/>
      <c r="I237" s="88"/>
      <c r="J237" s="88"/>
      <c r="K237" s="102"/>
    </row>
    <row r="238" spans="1:11" ht="15">
      <c r="A238" s="9"/>
      <c r="B238" s="103" t="s">
        <v>266</v>
      </c>
      <c r="C238" s="83">
        <v>19054000</v>
      </c>
      <c r="D238" s="83">
        <v>0</v>
      </c>
      <c r="E238" s="83">
        <v>0</v>
      </c>
      <c r="F238" s="84">
        <v>19054000</v>
      </c>
      <c r="G238" s="83">
        <v>21247000</v>
      </c>
      <c r="H238" s="83">
        <v>14310000</v>
      </c>
      <c r="I238" s="83">
        <v>22360000</v>
      </c>
      <c r="J238" s="83">
        <v>19652000</v>
      </c>
      <c r="K238" s="104">
        <v>0</v>
      </c>
    </row>
    <row r="239" spans="1:11" ht="15">
      <c r="A239" s="69"/>
      <c r="B239" s="11"/>
      <c r="C239" s="88"/>
      <c r="D239" s="88"/>
      <c r="E239" s="88"/>
      <c r="F239" s="88"/>
      <c r="G239" s="88"/>
      <c r="H239" s="88"/>
      <c r="I239" s="88"/>
      <c r="J239" s="88"/>
      <c r="K239" s="102"/>
    </row>
    <row r="240" spans="1:11" ht="15">
      <c r="A240" s="9"/>
      <c r="B240" s="103" t="s">
        <v>267</v>
      </c>
      <c r="C240" s="83">
        <v>40184237</v>
      </c>
      <c r="D240" s="83">
        <v>19702621</v>
      </c>
      <c r="E240" s="83">
        <v>2816769</v>
      </c>
      <c r="F240" s="84">
        <v>43401006</v>
      </c>
      <c r="G240" s="83">
        <v>31153080</v>
      </c>
      <c r="H240" s="83">
        <v>18946000</v>
      </c>
      <c r="I240" s="83">
        <v>25542000</v>
      </c>
      <c r="J240" s="83">
        <v>22319000</v>
      </c>
      <c r="K240" s="104"/>
    </row>
    <row r="241" spans="1:11" ht="15">
      <c r="A241" s="69"/>
      <c r="B241" s="69"/>
      <c r="C241" s="105"/>
      <c r="D241" s="105"/>
      <c r="E241" s="105"/>
      <c r="F241" s="105"/>
      <c r="G241" s="105"/>
      <c r="H241" s="105"/>
      <c r="I241" s="105"/>
      <c r="J241" s="105"/>
      <c r="K241" s="102"/>
    </row>
    <row r="242" spans="1:11" ht="15">
      <c r="A242" s="13"/>
      <c r="B242" s="106" t="s">
        <v>268</v>
      </c>
      <c r="C242" s="107"/>
      <c r="D242" s="107"/>
      <c r="E242" s="107"/>
      <c r="F242" s="107"/>
      <c r="G242" s="107"/>
      <c r="H242" s="107"/>
      <c r="I242" s="107"/>
      <c r="J242" s="107"/>
      <c r="K242" s="104"/>
    </row>
    <row r="243" spans="1:11" ht="15">
      <c r="A243" s="69"/>
      <c r="B243" s="97" t="s">
        <v>269</v>
      </c>
      <c r="C243" s="105"/>
      <c r="D243" s="105"/>
      <c r="E243" s="105"/>
      <c r="F243" s="105">
        <v>210000</v>
      </c>
      <c r="G243" s="105"/>
      <c r="H243" s="105"/>
      <c r="I243" s="105"/>
      <c r="J243" s="105"/>
      <c r="K243" s="102"/>
    </row>
    <row r="244" spans="1:11" ht="15">
      <c r="A244" s="69"/>
      <c r="B244" s="97" t="s">
        <v>270</v>
      </c>
      <c r="C244" s="88">
        <v>390000</v>
      </c>
      <c r="D244" s="88"/>
      <c r="E244" s="88"/>
      <c r="F244" s="88">
        <v>482587</v>
      </c>
      <c r="G244" s="88">
        <v>390000</v>
      </c>
      <c r="H244" s="88">
        <v>390000</v>
      </c>
      <c r="I244" s="88">
        <v>390000</v>
      </c>
      <c r="J244" s="88">
        <v>390000</v>
      </c>
      <c r="K244" s="102"/>
    </row>
    <row r="245" spans="1:11" ht="15">
      <c r="A245" s="69"/>
      <c r="B245" s="108" t="s">
        <v>271</v>
      </c>
      <c r="C245" s="109">
        <v>13447153</v>
      </c>
      <c r="D245" s="109"/>
      <c r="E245" s="109"/>
      <c r="F245" s="109">
        <v>13580935</v>
      </c>
      <c r="G245" s="109">
        <v>624701</v>
      </c>
      <c r="H245" s="110">
        <v>571316</v>
      </c>
      <c r="I245" s="109"/>
      <c r="J245" s="88"/>
      <c r="K245" s="102" t="s">
        <v>595</v>
      </c>
    </row>
    <row r="246" spans="1:11" ht="15">
      <c r="A246" s="69"/>
      <c r="B246" s="108" t="s">
        <v>272</v>
      </c>
      <c r="C246" s="109">
        <v>1462699</v>
      </c>
      <c r="D246" s="109"/>
      <c r="E246" s="109"/>
      <c r="F246" s="109">
        <v>2965799</v>
      </c>
      <c r="G246" s="109">
        <v>2160349</v>
      </c>
      <c r="H246" s="110">
        <v>1085684</v>
      </c>
      <c r="I246" s="110">
        <v>909413</v>
      </c>
      <c r="J246" s="88">
        <v>1056587</v>
      </c>
      <c r="K246" s="102" t="s">
        <v>595</v>
      </c>
    </row>
    <row r="247" spans="1:11" ht="15">
      <c r="A247" s="69"/>
      <c r="B247" s="87" t="s">
        <v>273</v>
      </c>
      <c r="C247" s="88">
        <v>356000</v>
      </c>
      <c r="D247" s="88"/>
      <c r="E247" s="88"/>
      <c r="F247" s="88">
        <v>356000</v>
      </c>
      <c r="G247" s="88">
        <v>0</v>
      </c>
      <c r="H247" s="88">
        <v>0</v>
      </c>
      <c r="I247" s="88"/>
      <c r="J247" s="88"/>
      <c r="K247" s="102"/>
    </row>
    <row r="248" spans="1:11" ht="15">
      <c r="A248" s="69"/>
      <c r="B248" s="108" t="s">
        <v>596</v>
      </c>
      <c r="C248" s="109">
        <v>1230000</v>
      </c>
      <c r="D248" s="109"/>
      <c r="E248" s="109"/>
      <c r="F248" s="109">
        <v>2207300</v>
      </c>
      <c r="G248" s="109">
        <v>1781750</v>
      </c>
      <c r="H248" s="109">
        <v>1799000</v>
      </c>
      <c r="I248" s="109"/>
      <c r="J248" s="88"/>
      <c r="K248" s="11" t="s">
        <v>597</v>
      </c>
    </row>
    <row r="249" spans="1:11" ht="15">
      <c r="A249" s="69"/>
      <c r="B249" s="87" t="s">
        <v>275</v>
      </c>
      <c r="C249" s="88">
        <v>0</v>
      </c>
      <c r="D249" s="88"/>
      <c r="E249" s="88"/>
      <c r="F249" s="88">
        <v>0</v>
      </c>
      <c r="G249" s="88">
        <v>0</v>
      </c>
      <c r="H249" s="88">
        <v>0</v>
      </c>
      <c r="I249" s="88">
        <v>0</v>
      </c>
      <c r="J249" s="88"/>
      <c r="K249" s="7"/>
    </row>
    <row r="250" spans="1:11" ht="15">
      <c r="A250" s="69"/>
      <c r="B250" s="11"/>
      <c r="C250" s="88"/>
      <c r="D250" s="88"/>
      <c r="E250" s="88"/>
      <c r="F250" s="88"/>
      <c r="G250" s="88"/>
      <c r="H250" s="88"/>
      <c r="I250" s="88"/>
      <c r="J250" s="88"/>
      <c r="K250" s="7"/>
    </row>
    <row r="251" spans="1:11" ht="15">
      <c r="A251" s="13"/>
      <c r="B251" s="96" t="s">
        <v>581</v>
      </c>
      <c r="C251" s="111"/>
      <c r="D251" s="111"/>
      <c r="E251" s="111"/>
      <c r="F251" s="88"/>
      <c r="G251" s="111"/>
      <c r="H251" s="111"/>
      <c r="I251" s="111"/>
      <c r="J251" s="111"/>
      <c r="K251" s="81"/>
    </row>
    <row r="252" spans="1:11" ht="15">
      <c r="A252" s="69"/>
      <c r="B252" s="87" t="s">
        <v>582</v>
      </c>
      <c r="C252" s="88"/>
      <c r="D252" s="88"/>
      <c r="E252" s="88"/>
      <c r="F252" s="88">
        <v>0</v>
      </c>
      <c r="G252" s="88"/>
      <c r="H252" s="88"/>
      <c r="I252" s="88"/>
      <c r="J252" s="88"/>
      <c r="K252" s="7"/>
    </row>
    <row r="253" spans="1:11" ht="15">
      <c r="A253" s="69"/>
      <c r="B253" s="87" t="s">
        <v>583</v>
      </c>
      <c r="C253" s="88">
        <v>1733000</v>
      </c>
      <c r="D253" s="88"/>
      <c r="E253" s="88"/>
      <c r="F253" s="88">
        <v>1733000</v>
      </c>
      <c r="G253" s="88"/>
      <c r="H253" s="88"/>
      <c r="I253" s="88">
        <v>1279587</v>
      </c>
      <c r="J253" s="88"/>
      <c r="K253" s="7"/>
    </row>
    <row r="254" spans="1:11" ht="15">
      <c r="A254" s="69"/>
      <c r="B254" s="87" t="s">
        <v>271</v>
      </c>
      <c r="C254" s="88">
        <v>1228000</v>
      </c>
      <c r="D254" s="88"/>
      <c r="E254" s="88"/>
      <c r="F254" s="88">
        <v>1428000</v>
      </c>
      <c r="G254" s="88">
        <v>3656200</v>
      </c>
      <c r="H254" s="88">
        <v>0</v>
      </c>
      <c r="I254" s="88">
        <v>0</v>
      </c>
      <c r="J254" s="105">
        <v>720413</v>
      </c>
      <c r="K254" s="3"/>
    </row>
    <row r="255" spans="1:11" ht="15">
      <c r="A255" s="69"/>
      <c r="B255" s="87" t="s">
        <v>584</v>
      </c>
      <c r="C255" s="88"/>
      <c r="D255" s="88"/>
      <c r="E255" s="88"/>
      <c r="F255" s="88">
        <v>0</v>
      </c>
      <c r="G255" s="88"/>
      <c r="H255" s="88"/>
      <c r="I255" s="88">
        <v>150000</v>
      </c>
      <c r="J255" s="105"/>
      <c r="K255" s="3"/>
    </row>
    <row r="256" spans="1:11" ht="15">
      <c r="A256" s="69"/>
      <c r="B256" s="97" t="s">
        <v>585</v>
      </c>
      <c r="C256" s="105">
        <v>755685</v>
      </c>
      <c r="D256" s="105"/>
      <c r="E256" s="105"/>
      <c r="F256" s="88">
        <v>855685</v>
      </c>
      <c r="G256" s="105">
        <v>1058830</v>
      </c>
      <c r="H256" s="105"/>
      <c r="I256" s="105"/>
      <c r="J256" s="105"/>
      <c r="K256" s="3"/>
    </row>
    <row r="257" spans="1:10" ht="15">
      <c r="A257" s="69"/>
      <c r="B257" s="97" t="s">
        <v>586</v>
      </c>
      <c r="C257" s="105"/>
      <c r="D257" s="105"/>
      <c r="E257" s="105"/>
      <c r="F257" s="88">
        <v>0</v>
      </c>
      <c r="G257" s="105"/>
      <c r="H257" s="105">
        <v>790000</v>
      </c>
      <c r="I257" s="105"/>
      <c r="J257" s="105"/>
    </row>
    <row r="258" spans="1:10" ht="15">
      <c r="A258" s="69"/>
      <c r="B258" s="97" t="s">
        <v>598</v>
      </c>
      <c r="C258" s="105">
        <v>0</v>
      </c>
      <c r="D258" s="105"/>
      <c r="E258" s="105"/>
      <c r="F258" s="88">
        <v>0</v>
      </c>
      <c r="G258" s="105">
        <v>0</v>
      </c>
      <c r="H258" s="105">
        <v>0</v>
      </c>
      <c r="I258" s="105">
        <v>0</v>
      </c>
      <c r="J258" s="105"/>
    </row>
    <row r="259" spans="1:10" ht="15">
      <c r="A259" s="69"/>
      <c r="B259" s="97" t="s">
        <v>599</v>
      </c>
      <c r="C259" s="105">
        <v>177700</v>
      </c>
      <c r="D259" s="105"/>
      <c r="E259" s="105"/>
      <c r="F259" s="88">
        <v>177700</v>
      </c>
      <c r="G259" s="105">
        <v>209250</v>
      </c>
      <c r="H259" s="105">
        <v>0</v>
      </c>
      <c r="I259" s="105">
        <v>453000</v>
      </c>
      <c r="J259" s="105">
        <v>500000</v>
      </c>
    </row>
    <row r="260" spans="1:10" ht="15">
      <c r="A260" s="69"/>
      <c r="B260" s="97" t="s">
        <v>588</v>
      </c>
      <c r="C260" s="105">
        <v>100000</v>
      </c>
      <c r="D260" s="105"/>
      <c r="E260" s="105"/>
      <c r="F260" s="88">
        <v>100000</v>
      </c>
      <c r="G260" s="105">
        <v>25000</v>
      </c>
      <c r="H260" s="105"/>
      <c r="I260" s="105"/>
      <c r="J260" s="105"/>
    </row>
    <row r="261" spans="1:10" ht="15">
      <c r="A261" s="69"/>
      <c r="B261" s="97" t="s">
        <v>589</v>
      </c>
      <c r="C261" s="105">
        <v>250000</v>
      </c>
      <c r="D261" s="105"/>
      <c r="E261" s="105"/>
      <c r="F261" s="88">
        <v>250000</v>
      </c>
      <c r="G261" s="105"/>
      <c r="H261" s="105"/>
      <c r="I261" s="105"/>
      <c r="J261" s="105"/>
    </row>
    <row r="262" spans="1:10" ht="15">
      <c r="A262" s="69"/>
      <c r="B262" s="69"/>
      <c r="C262" s="105"/>
      <c r="D262" s="105"/>
      <c r="E262" s="105"/>
      <c r="F262" s="105"/>
      <c r="G262" s="105"/>
      <c r="H262" s="105"/>
      <c r="I262" s="105"/>
      <c r="J262" s="105"/>
    </row>
    <row r="263" spans="1:10" ht="15">
      <c r="A263" s="13"/>
      <c r="B263" s="82" t="s">
        <v>276</v>
      </c>
      <c r="C263" s="83">
        <v>21130237</v>
      </c>
      <c r="D263" s="83">
        <v>0</v>
      </c>
      <c r="E263" s="83">
        <v>0</v>
      </c>
      <c r="F263" s="83">
        <v>24347006</v>
      </c>
      <c r="G263" s="83">
        <v>9906080</v>
      </c>
      <c r="H263" s="83">
        <v>4636000</v>
      </c>
      <c r="I263" s="83">
        <v>3182000</v>
      </c>
      <c r="J263" s="83">
        <v>2667000</v>
      </c>
    </row>
    <row r="264" spans="1:10" ht="15">
      <c r="A264" s="69"/>
      <c r="B264" s="69"/>
      <c r="C264" s="105"/>
      <c r="D264" s="105"/>
      <c r="E264" s="105"/>
      <c r="F264" s="105"/>
      <c r="G264" s="105"/>
      <c r="H264" s="105"/>
      <c r="I264" s="105"/>
      <c r="J264" s="105"/>
    </row>
    <row r="265" spans="1:10" ht="15">
      <c r="A265" s="69"/>
      <c r="B265" s="112" t="s">
        <v>277</v>
      </c>
      <c r="C265" s="105"/>
      <c r="D265" s="105"/>
      <c r="E265" s="105"/>
      <c r="F265" s="105"/>
      <c r="G265" s="105"/>
      <c r="H265" s="105"/>
      <c r="I265" s="105"/>
      <c r="J265" s="105"/>
    </row>
    <row r="266" spans="1:10" ht="15">
      <c r="A266" s="69"/>
      <c r="B266" s="69" t="s">
        <v>590</v>
      </c>
      <c r="C266" s="88">
        <v>19054000</v>
      </c>
      <c r="D266" s="88"/>
      <c r="E266" s="88"/>
      <c r="F266" s="88">
        <v>19054000</v>
      </c>
      <c r="G266" s="105">
        <v>19247000</v>
      </c>
      <c r="H266" s="105">
        <v>14310000</v>
      </c>
      <c r="I266" s="105">
        <v>22360000</v>
      </c>
      <c r="J266" s="105">
        <v>19652000</v>
      </c>
    </row>
    <row r="267" spans="1:10" ht="15">
      <c r="A267" s="69"/>
      <c r="B267" s="69" t="s">
        <v>279</v>
      </c>
      <c r="C267" s="105"/>
      <c r="D267" s="105"/>
      <c r="E267" s="105"/>
      <c r="F267" s="105"/>
      <c r="G267" s="105"/>
      <c r="H267" s="105"/>
      <c r="I267" s="105"/>
      <c r="J267" s="105"/>
    </row>
    <row r="268" spans="1:10" ht="15">
      <c r="A268" s="69"/>
      <c r="B268" s="69" t="s">
        <v>280</v>
      </c>
      <c r="C268" s="105"/>
      <c r="D268" s="105"/>
      <c r="E268" s="105"/>
      <c r="F268" s="105"/>
      <c r="G268" s="105"/>
      <c r="H268" s="105"/>
      <c r="I268" s="113"/>
      <c r="J268" s="105"/>
    </row>
    <row r="269" spans="1:10" ht="15">
      <c r="A269" s="69"/>
      <c r="B269" s="69" t="s">
        <v>275</v>
      </c>
      <c r="C269" s="105"/>
      <c r="D269" s="105"/>
      <c r="E269" s="105"/>
      <c r="F269" s="105"/>
      <c r="G269" s="105"/>
      <c r="H269" s="105"/>
      <c r="I269" s="105"/>
      <c r="J269" s="105"/>
    </row>
    <row r="270" spans="1:10" ht="15">
      <c r="A270" s="69"/>
      <c r="B270" s="69" t="s">
        <v>281</v>
      </c>
      <c r="C270" s="113"/>
      <c r="D270" s="113"/>
      <c r="E270" s="113"/>
      <c r="F270" s="113"/>
      <c r="G270" s="113"/>
      <c r="H270" s="113"/>
      <c r="I270" s="113"/>
      <c r="J270" s="113"/>
    </row>
    <row r="271" spans="1:10" ht="15">
      <c r="A271" s="69"/>
      <c r="B271" s="69" t="s">
        <v>591</v>
      </c>
      <c r="C271" s="113"/>
      <c r="D271" s="113"/>
      <c r="E271" s="113"/>
      <c r="F271" s="113"/>
      <c r="G271" s="113">
        <v>2000000</v>
      </c>
      <c r="H271" s="113"/>
      <c r="I271" s="113"/>
      <c r="J271" s="113"/>
    </row>
    <row r="272" spans="1:10" ht="15">
      <c r="A272" s="69"/>
      <c r="B272" s="69"/>
      <c r="C272" s="105"/>
      <c r="D272" s="105"/>
      <c r="E272" s="105"/>
      <c r="F272" s="105"/>
      <c r="G272" s="105"/>
      <c r="H272" s="105"/>
      <c r="I272" s="105"/>
      <c r="J272" s="105"/>
    </row>
    <row r="273" spans="1:25" ht="15">
      <c r="A273" s="13"/>
      <c r="B273" s="103" t="s">
        <v>282</v>
      </c>
      <c r="C273" s="83">
        <v>19054000</v>
      </c>
      <c r="D273" s="83">
        <v>0</v>
      </c>
      <c r="E273" s="83">
        <v>0</v>
      </c>
      <c r="F273" s="83">
        <v>19054000</v>
      </c>
      <c r="G273" s="83">
        <v>21247000</v>
      </c>
      <c r="H273" s="83">
        <v>14310000</v>
      </c>
      <c r="I273" s="83">
        <v>22360000</v>
      </c>
      <c r="J273" s="83">
        <v>19652000</v>
      </c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</row>
    <row r="274" spans="1:25" ht="15">
      <c r="A274" s="69"/>
      <c r="B274" s="69"/>
      <c r="C274" s="88"/>
      <c r="D274" s="88"/>
      <c r="E274" s="88"/>
      <c r="F274" s="88"/>
      <c r="G274" s="88"/>
      <c r="H274" s="88"/>
      <c r="I274" s="88"/>
      <c r="J274" s="88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">
      <c r="A275" s="13"/>
      <c r="B275" s="103" t="s">
        <v>283</v>
      </c>
      <c r="C275" s="83">
        <v>40184237</v>
      </c>
      <c r="D275" s="83">
        <v>0</v>
      </c>
      <c r="E275" s="83">
        <v>0</v>
      </c>
      <c r="F275" s="83">
        <v>43401006</v>
      </c>
      <c r="G275" s="83">
        <v>31153080</v>
      </c>
      <c r="H275" s="83">
        <v>18946000</v>
      </c>
      <c r="I275" s="83">
        <v>25542000</v>
      </c>
      <c r="J275" s="83">
        <v>22319000</v>
      </c>
      <c r="K275" s="13"/>
      <c r="L275" s="13"/>
      <c r="M275" s="13"/>
      <c r="N275" s="13"/>
      <c r="O275" s="13"/>
      <c r="P275" s="13"/>
      <c r="Q275" s="13"/>
      <c r="R275" s="13"/>
      <c r="S275" s="81"/>
      <c r="T275" s="14"/>
      <c r="U275" s="14"/>
      <c r="V275" s="14"/>
      <c r="W275" s="14"/>
      <c r="X275" s="14"/>
      <c r="Y275" s="14"/>
    </row>
    <row r="276" spans="1:25" ht="15">
      <c r="A276" s="69"/>
      <c r="B276" s="69"/>
      <c r="C276" s="113"/>
      <c r="D276" s="113"/>
      <c r="E276" s="113"/>
      <c r="F276" s="113"/>
      <c r="G276" s="113"/>
      <c r="H276" s="113"/>
      <c r="I276" s="113"/>
      <c r="J276" s="11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">
      <c r="A277" s="69"/>
      <c r="B277" s="69"/>
      <c r="C277" s="113"/>
      <c r="D277" s="113"/>
      <c r="E277" s="113"/>
      <c r="F277" s="113"/>
      <c r="G277" s="113"/>
      <c r="H277" s="113"/>
      <c r="I277" s="113"/>
      <c r="J277" s="11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">
      <c r="A278" s="69"/>
      <c r="B278" s="69"/>
      <c r="C278" s="113"/>
      <c r="D278" s="113"/>
      <c r="E278" s="113"/>
      <c r="F278" s="113"/>
      <c r="G278" s="113"/>
      <c r="H278" s="113"/>
      <c r="I278" s="113"/>
      <c r="J278" s="11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">
      <c r="A279" s="13"/>
      <c r="B279" s="106" t="s">
        <v>600</v>
      </c>
      <c r="C279" s="114">
        <v>0</v>
      </c>
      <c r="D279" s="114"/>
      <c r="E279" s="114"/>
      <c r="F279" s="114">
        <v>0</v>
      </c>
      <c r="G279" s="114">
        <v>0</v>
      </c>
      <c r="H279" s="114">
        <v>0</v>
      </c>
      <c r="I279" s="114">
        <v>0</v>
      </c>
      <c r="J279" s="114">
        <v>0</v>
      </c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</row>
    <row r="280" spans="1:25" ht="15">
      <c r="A280" s="3"/>
      <c r="B280" s="7"/>
      <c r="C280" s="115"/>
      <c r="D280" s="115"/>
      <c r="E280" s="115"/>
      <c r="F280" s="115"/>
      <c r="G280" s="115"/>
      <c r="H280" s="115"/>
      <c r="I280" s="115"/>
      <c r="J280" s="115"/>
      <c r="K280" s="116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">
      <c r="A281" s="3"/>
      <c r="B281" s="7"/>
      <c r="C281" s="3"/>
      <c r="D281" s="3"/>
      <c r="E281" s="3"/>
      <c r="F281" s="3"/>
      <c r="G281" s="3"/>
      <c r="H281" s="3"/>
      <c r="I281" s="3"/>
      <c r="J281" s="3"/>
      <c r="K281" s="116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117"/>
      <c r="L282" s="118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117"/>
      <c r="L283" s="118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117"/>
      <c r="L284" s="118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119"/>
      <c r="L285" s="118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119"/>
      <c r="L286" s="118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119"/>
      <c r="L287" s="118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119"/>
      <c r="L288" s="118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1:12" ht="15">
      <c r="K289" s="120"/>
      <c r="L289" s="118"/>
    </row>
    <row r="290" spans="11:12" ht="15">
      <c r="K290" s="121"/>
      <c r="L290" s="3"/>
    </row>
  </sheetData>
  <sheetProtection/>
  <mergeCells count="1">
    <mergeCell ref="G1:I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25">
      <selection activeCell="C185" sqref="C185"/>
    </sheetView>
  </sheetViews>
  <sheetFormatPr defaultColWidth="9.140625" defaultRowHeight="15"/>
  <cols>
    <col min="2" max="2" width="39.8515625" style="0" bestFit="1" customWidth="1"/>
    <col min="3" max="3" width="24.8515625" style="0" customWidth="1"/>
    <col min="4" max="7" width="22.421875" style="0" customWidth="1"/>
    <col min="8" max="10" width="7.00390625" style="0" customWidth="1"/>
    <col min="11" max="14" width="8.00390625" style="0" customWidth="1"/>
    <col min="15" max="15" width="9.00390625" style="0" bestFit="1" customWidth="1"/>
    <col min="16" max="16" width="10.7109375" style="0" bestFit="1" customWidth="1"/>
  </cols>
  <sheetData>
    <row r="2" spans="2:7" ht="15">
      <c r="B2" t="s">
        <v>665</v>
      </c>
      <c r="C2" t="s">
        <v>663</v>
      </c>
      <c r="D2" t="s">
        <v>1</v>
      </c>
      <c r="E2" t="s">
        <v>2</v>
      </c>
      <c r="F2" t="s">
        <v>477</v>
      </c>
      <c r="G2" t="s">
        <v>606</v>
      </c>
    </row>
    <row r="3" spans="2:3" ht="15">
      <c r="B3" t="s">
        <v>589</v>
      </c>
      <c r="C3">
        <v>250000</v>
      </c>
    </row>
    <row r="4" spans="2:5" ht="15">
      <c r="B4" t="s">
        <v>271</v>
      </c>
      <c r="C4">
        <v>13580935</v>
      </c>
      <c r="D4">
        <v>624701</v>
      </c>
      <c r="E4">
        <v>571316</v>
      </c>
    </row>
    <row r="5" spans="2:7" ht="15">
      <c r="B5" t="s">
        <v>271</v>
      </c>
      <c r="C5">
        <v>1428000</v>
      </c>
      <c r="D5">
        <v>3656200</v>
      </c>
      <c r="E5">
        <v>0</v>
      </c>
      <c r="F5">
        <v>0</v>
      </c>
      <c r="G5">
        <v>720413</v>
      </c>
    </row>
    <row r="6" spans="2:3" ht="15">
      <c r="B6" t="s">
        <v>585</v>
      </c>
      <c r="C6">
        <v>210000</v>
      </c>
    </row>
    <row r="7" spans="2:4" ht="15">
      <c r="B7" t="s">
        <v>585</v>
      </c>
      <c r="C7">
        <v>855685</v>
      </c>
      <c r="D7">
        <v>1058830</v>
      </c>
    </row>
    <row r="8" spans="2:7" ht="15">
      <c r="B8" t="s">
        <v>272</v>
      </c>
      <c r="C8">
        <v>2965799</v>
      </c>
      <c r="D8">
        <v>2160349</v>
      </c>
      <c r="E8">
        <v>1085684</v>
      </c>
      <c r="F8">
        <v>909413</v>
      </c>
      <c r="G8">
        <v>1056587</v>
      </c>
    </row>
    <row r="9" spans="2:5" ht="15">
      <c r="B9" t="s">
        <v>586</v>
      </c>
      <c r="C9">
        <v>0</v>
      </c>
      <c r="E9">
        <v>790000</v>
      </c>
    </row>
    <row r="10" spans="2:6" ht="15">
      <c r="B10" t="s">
        <v>583</v>
      </c>
      <c r="C10">
        <v>1733000</v>
      </c>
      <c r="F10">
        <v>1279587</v>
      </c>
    </row>
    <row r="11" spans="2:7" ht="15">
      <c r="B11" t="s">
        <v>270</v>
      </c>
      <c r="C11">
        <v>482587</v>
      </c>
      <c r="D11">
        <v>390000</v>
      </c>
      <c r="E11">
        <v>390000</v>
      </c>
      <c r="F11">
        <v>390000</v>
      </c>
      <c r="G11">
        <v>390000</v>
      </c>
    </row>
    <row r="12" spans="2:6" ht="15">
      <c r="B12" t="s">
        <v>584</v>
      </c>
      <c r="C12">
        <v>0</v>
      </c>
      <c r="F12">
        <v>150000</v>
      </c>
    </row>
    <row r="13" spans="2:4" ht="15">
      <c r="B13" t="s">
        <v>588</v>
      </c>
      <c r="C13">
        <v>100000</v>
      </c>
      <c r="D13">
        <v>25000</v>
      </c>
    </row>
    <row r="14" spans="2:5" ht="15">
      <c r="B14" t="s">
        <v>664</v>
      </c>
      <c r="C14">
        <v>2207300</v>
      </c>
      <c r="D14">
        <v>1781750</v>
      </c>
      <c r="E14">
        <v>1799000</v>
      </c>
    </row>
    <row r="15" spans="2:5" ht="15">
      <c r="B15" t="s">
        <v>273</v>
      </c>
      <c r="C15">
        <v>356000</v>
      </c>
      <c r="D15">
        <v>0</v>
      </c>
      <c r="E15">
        <v>0</v>
      </c>
    </row>
    <row r="16" spans="2:7" ht="15">
      <c r="B16" t="s">
        <v>664</v>
      </c>
      <c r="C16">
        <v>177700</v>
      </c>
      <c r="D16">
        <v>209250</v>
      </c>
      <c r="E16">
        <v>0</v>
      </c>
      <c r="F16">
        <v>453000</v>
      </c>
      <c r="G16">
        <v>500000</v>
      </c>
    </row>
    <row r="27" spans="2:7" ht="15">
      <c r="B27" s="124" t="s">
        <v>666</v>
      </c>
      <c r="C27" t="s">
        <v>667</v>
      </c>
      <c r="D27" t="s">
        <v>668</v>
      </c>
      <c r="E27" t="s">
        <v>669</v>
      </c>
      <c r="F27" t="s">
        <v>670</v>
      </c>
      <c r="G27" t="s">
        <v>671</v>
      </c>
    </row>
    <row r="28" spans="2:7" ht="15">
      <c r="B28" s="125" t="s">
        <v>589</v>
      </c>
      <c r="C28" s="126">
        <v>250000</v>
      </c>
      <c r="D28" s="126"/>
      <c r="E28" s="126"/>
      <c r="F28" s="126"/>
      <c r="G28" s="126"/>
    </row>
    <row r="29" spans="2:7" ht="15">
      <c r="B29" s="125" t="s">
        <v>271</v>
      </c>
      <c r="C29" s="126">
        <v>15008935</v>
      </c>
      <c r="D29" s="123">
        <v>720413</v>
      </c>
      <c r="E29" s="123">
        <v>0</v>
      </c>
      <c r="F29" s="123">
        <v>571316</v>
      </c>
      <c r="G29" s="123">
        <v>4280901</v>
      </c>
    </row>
    <row r="30" spans="2:7" ht="15">
      <c r="B30" s="125" t="s">
        <v>585</v>
      </c>
      <c r="C30" s="126">
        <v>1065685</v>
      </c>
      <c r="D30" s="123"/>
      <c r="E30" s="123"/>
      <c r="F30" s="123"/>
      <c r="G30" s="123">
        <v>1058830</v>
      </c>
    </row>
    <row r="31" spans="2:7" ht="15">
      <c r="B31" s="125" t="s">
        <v>272</v>
      </c>
      <c r="C31" s="126">
        <v>2965799</v>
      </c>
      <c r="D31" s="123">
        <v>1056587</v>
      </c>
      <c r="E31" s="123">
        <v>909413</v>
      </c>
      <c r="F31" s="123">
        <v>1085684</v>
      </c>
      <c r="G31" s="123">
        <v>2160349</v>
      </c>
    </row>
    <row r="32" spans="2:7" ht="15">
      <c r="B32" s="125" t="s">
        <v>586</v>
      </c>
      <c r="C32" s="126">
        <v>0</v>
      </c>
      <c r="D32" s="123"/>
      <c r="E32" s="123"/>
      <c r="F32" s="123">
        <v>790000</v>
      </c>
      <c r="G32" s="123"/>
    </row>
    <row r="33" spans="2:7" ht="15">
      <c r="B33" s="125" t="s">
        <v>583</v>
      </c>
      <c r="C33" s="126">
        <v>1733000</v>
      </c>
      <c r="D33" s="123"/>
      <c r="E33" s="123">
        <v>1279587</v>
      </c>
      <c r="F33" s="123"/>
      <c r="G33" s="123"/>
    </row>
    <row r="34" spans="2:7" ht="15">
      <c r="B34" s="125" t="s">
        <v>270</v>
      </c>
      <c r="C34" s="126">
        <v>482587</v>
      </c>
      <c r="D34" s="123">
        <v>390000</v>
      </c>
      <c r="E34" s="123">
        <v>390000</v>
      </c>
      <c r="F34" s="123">
        <v>390000</v>
      </c>
      <c r="G34" s="123">
        <v>390000</v>
      </c>
    </row>
    <row r="35" spans="2:7" ht="15">
      <c r="B35" s="125" t="s">
        <v>584</v>
      </c>
      <c r="C35" s="126">
        <v>0</v>
      </c>
      <c r="D35" s="123"/>
      <c r="E35" s="123">
        <v>150000</v>
      </c>
      <c r="F35" s="123"/>
      <c r="G35" s="123"/>
    </row>
    <row r="36" spans="2:7" ht="15">
      <c r="B36" s="125" t="s">
        <v>588</v>
      </c>
      <c r="C36" s="126">
        <v>100000</v>
      </c>
      <c r="D36" s="123"/>
      <c r="E36" s="123"/>
      <c r="F36" s="123"/>
      <c r="G36" s="123">
        <v>25000</v>
      </c>
    </row>
    <row r="37" spans="2:7" ht="15">
      <c r="B37" s="125" t="s">
        <v>664</v>
      </c>
      <c r="C37" s="126">
        <v>2385000</v>
      </c>
      <c r="D37" s="123">
        <v>500000</v>
      </c>
      <c r="E37" s="123">
        <v>453000</v>
      </c>
      <c r="F37" s="123">
        <v>1799000</v>
      </c>
      <c r="G37" s="123">
        <v>1991000</v>
      </c>
    </row>
    <row r="38" spans="2:7" ht="15">
      <c r="B38" s="125" t="s">
        <v>273</v>
      </c>
      <c r="C38" s="126">
        <v>356000</v>
      </c>
      <c r="D38" s="123"/>
      <c r="E38" s="123"/>
      <c r="F38" s="123">
        <v>0</v>
      </c>
      <c r="G38" s="123">
        <v>0</v>
      </c>
    </row>
    <row r="39" spans="2:7" ht="15">
      <c r="B39" s="125" t="s">
        <v>267</v>
      </c>
      <c r="C39" s="126">
        <v>24347006</v>
      </c>
      <c r="D39" s="123">
        <v>2667000</v>
      </c>
      <c r="E39" s="123">
        <v>3182000</v>
      </c>
      <c r="F39" s="123">
        <v>4636000</v>
      </c>
      <c r="G39" s="123">
        <v>9906080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14"/>
  <sheetViews>
    <sheetView zoomScale="85" zoomScaleNormal="85" zoomScalePageLayoutView="0" workbookViewId="0" topLeftCell="A1">
      <pane xSplit="5" ySplit="1" topLeftCell="F17" activePane="bottomRight" state="frozen"/>
      <selection pane="topLeft" activeCell="A1" sqref="A1"/>
      <selection pane="topRight" activeCell="F1" sqref="F1"/>
      <selection pane="bottomLeft" activeCell="A2" sqref="A2"/>
      <selection pane="bottomRight" activeCell="M69" sqref="M69"/>
    </sheetView>
  </sheetViews>
  <sheetFormatPr defaultColWidth="9.140625" defaultRowHeight="15"/>
  <cols>
    <col min="1" max="1" width="12.7109375" style="0" bestFit="1" customWidth="1"/>
    <col min="2" max="2" width="49.8515625" style="0" bestFit="1" customWidth="1"/>
    <col min="3" max="3" width="18.28125" style="122" bestFit="1" customWidth="1"/>
    <col min="4" max="4" width="14.8515625" style="122" bestFit="1" customWidth="1"/>
    <col min="5" max="6" width="16.28125" style="122" customWidth="1"/>
    <col min="7" max="7" width="13.8515625" style="122" bestFit="1" customWidth="1"/>
    <col min="8" max="15" width="11.28125" style="122" bestFit="1" customWidth="1"/>
    <col min="16" max="17" width="12.7109375" style="122" bestFit="1" customWidth="1"/>
    <col min="18" max="18" width="11.28125" style="122" bestFit="1" customWidth="1"/>
    <col min="19" max="19" width="10.57421875" style="0" bestFit="1" customWidth="1"/>
  </cols>
  <sheetData>
    <row r="1" spans="1:18" s="1" customFormat="1" ht="15">
      <c r="A1" s="1" t="s">
        <v>286</v>
      </c>
      <c r="C1" s="206" t="s">
        <v>288</v>
      </c>
      <c r="D1" s="206" t="s">
        <v>722</v>
      </c>
      <c r="E1" s="206" t="s">
        <v>740</v>
      </c>
      <c r="F1" s="206" t="s">
        <v>739</v>
      </c>
      <c r="G1" s="206" t="s">
        <v>710</v>
      </c>
      <c r="H1" s="206" t="s">
        <v>711</v>
      </c>
      <c r="I1" s="206" t="s">
        <v>712</v>
      </c>
      <c r="J1" s="206" t="s">
        <v>713</v>
      </c>
      <c r="K1" s="206" t="s">
        <v>714</v>
      </c>
      <c r="L1" s="206" t="s">
        <v>715</v>
      </c>
      <c r="M1" s="206" t="s">
        <v>716</v>
      </c>
      <c r="N1" s="206" t="s">
        <v>717</v>
      </c>
      <c r="O1" s="206" t="s">
        <v>718</v>
      </c>
      <c r="P1" s="206" t="s">
        <v>719</v>
      </c>
      <c r="Q1" s="206" t="s">
        <v>720</v>
      </c>
      <c r="R1" s="206" t="s">
        <v>721</v>
      </c>
    </row>
    <row r="2" spans="1:18" s="207" customFormat="1" ht="15">
      <c r="A2" t="s">
        <v>151</v>
      </c>
      <c r="B2" s="207" t="s">
        <v>290</v>
      </c>
      <c r="C2" s="208">
        <f>VLOOKUP(A2,'Appendix B'!A:F,6,FALSE)</f>
        <v>18146</v>
      </c>
      <c r="D2" s="122">
        <f>SUM(G2:R2)</f>
        <v>18146</v>
      </c>
      <c r="E2" s="122">
        <f>VLOOKUP(A2,Agresso!$A$2:$G$117,7,FALSE)</f>
        <v>2291.24</v>
      </c>
      <c r="F2" s="122">
        <f>G2+H2+I2</f>
        <v>4536.5</v>
      </c>
      <c r="G2" s="221">
        <f>$C2/12</f>
        <v>1512.1666666666667</v>
      </c>
      <c r="H2" s="221">
        <f aca="true" t="shared" si="0" ref="H2:R2">$C2/12</f>
        <v>1512.1666666666667</v>
      </c>
      <c r="I2" s="221">
        <f t="shared" si="0"/>
        <v>1512.1666666666667</v>
      </c>
      <c r="J2" s="221">
        <f t="shared" si="0"/>
        <v>1512.1666666666667</v>
      </c>
      <c r="K2" s="221">
        <f t="shared" si="0"/>
        <v>1512.1666666666667</v>
      </c>
      <c r="L2" s="221">
        <f t="shared" si="0"/>
        <v>1512.1666666666667</v>
      </c>
      <c r="M2" s="221">
        <f t="shared" si="0"/>
        <v>1512.1666666666667</v>
      </c>
      <c r="N2" s="221">
        <f t="shared" si="0"/>
        <v>1512.1666666666667</v>
      </c>
      <c r="O2" s="221">
        <f t="shared" si="0"/>
        <v>1512.1666666666667</v>
      </c>
      <c r="P2" s="221">
        <f t="shared" si="0"/>
        <v>1512.1666666666667</v>
      </c>
      <c r="Q2" s="221">
        <f t="shared" si="0"/>
        <v>1512.1666666666667</v>
      </c>
      <c r="R2" s="221">
        <f t="shared" si="0"/>
        <v>1512.1666666666667</v>
      </c>
    </row>
    <row r="3" spans="1:18" ht="15">
      <c r="A3" t="s">
        <v>153</v>
      </c>
      <c r="B3" t="s">
        <v>291</v>
      </c>
      <c r="C3" s="208">
        <f>VLOOKUP(A3,'Appendix B'!A:F,6,FALSE)</f>
        <v>74441</v>
      </c>
      <c r="D3" s="122">
        <f>SUM(G3:R3)</f>
        <v>74440.99999999999</v>
      </c>
      <c r="E3" s="122">
        <f>VLOOKUP(A3,Agresso!$A$2:$G$117,7,FALSE)</f>
        <v>0</v>
      </c>
      <c r="F3" s="122">
        <f>G3+H3+I3</f>
        <v>0</v>
      </c>
      <c r="J3" s="222">
        <f>$C3/9</f>
        <v>8271.222222222223</v>
      </c>
      <c r="K3" s="222">
        <f aca="true" t="shared" si="1" ref="K3:R3">$C3/9</f>
        <v>8271.222222222223</v>
      </c>
      <c r="L3" s="222">
        <f t="shared" si="1"/>
        <v>8271.222222222223</v>
      </c>
      <c r="M3" s="222">
        <f t="shared" si="1"/>
        <v>8271.222222222223</v>
      </c>
      <c r="N3" s="222">
        <f t="shared" si="1"/>
        <v>8271.222222222223</v>
      </c>
      <c r="O3" s="222">
        <f t="shared" si="1"/>
        <v>8271.222222222223</v>
      </c>
      <c r="P3" s="222">
        <f t="shared" si="1"/>
        <v>8271.222222222223</v>
      </c>
      <c r="Q3" s="222">
        <f t="shared" si="1"/>
        <v>8271.222222222223</v>
      </c>
      <c r="R3" s="222">
        <f t="shared" si="1"/>
        <v>8271.222222222223</v>
      </c>
    </row>
    <row r="4" spans="1:18" ht="15">
      <c r="A4" t="s">
        <v>292</v>
      </c>
      <c r="B4" t="s">
        <v>293</v>
      </c>
      <c r="C4" s="208">
        <f>VLOOKUP(A4,'Appendix B'!A:F,6,FALSE)</f>
        <v>44375</v>
      </c>
      <c r="D4" s="122">
        <f>SUM(G4:R4)</f>
        <v>44375</v>
      </c>
      <c r="E4" s="122">
        <f>VLOOKUP(A4,Agresso!$A$2:$G$117,7,FALSE)</f>
        <v>0</v>
      </c>
      <c r="F4" s="122">
        <f aca="true" t="shared" si="2" ref="F4:F67">G4+H4+I4</f>
        <v>0</v>
      </c>
      <c r="P4" s="222">
        <f>$C$4/3</f>
        <v>14791.666666666666</v>
      </c>
      <c r="Q4" s="222">
        <f>$C$4/3</f>
        <v>14791.666666666666</v>
      </c>
      <c r="R4" s="222">
        <f>$C$4/3</f>
        <v>14791.666666666666</v>
      </c>
    </row>
    <row r="5" spans="1:18" ht="15">
      <c r="A5" t="s">
        <v>52</v>
      </c>
      <c r="B5" t="s">
        <v>294</v>
      </c>
      <c r="C5" s="208">
        <f>VLOOKUP(A5,'Appendix B'!A:F,6,FALSE)</f>
        <v>128278</v>
      </c>
      <c r="D5" s="122">
        <f aca="true" t="shared" si="3" ref="D5:D36">SUM(G5:R5)</f>
        <v>128278</v>
      </c>
      <c r="E5" s="122">
        <f>VLOOKUP(A5,Agresso!$A$2:$G$117,7,FALSE)</f>
        <v>0</v>
      </c>
      <c r="F5" s="122">
        <f t="shared" si="2"/>
        <v>0</v>
      </c>
      <c r="H5" s="122">
        <v>0</v>
      </c>
      <c r="I5" s="122">
        <v>0</v>
      </c>
      <c r="J5" s="122">
        <v>0</v>
      </c>
      <c r="K5" s="122">
        <v>0</v>
      </c>
      <c r="L5" s="122">
        <v>0</v>
      </c>
      <c r="M5" s="122">
        <v>10000</v>
      </c>
      <c r="N5" s="122">
        <v>0</v>
      </c>
      <c r="O5" s="122">
        <v>3278</v>
      </c>
      <c r="P5" s="122">
        <v>50000</v>
      </c>
      <c r="Q5" s="122">
        <v>50000</v>
      </c>
      <c r="R5" s="122">
        <v>15000</v>
      </c>
    </row>
    <row r="6" spans="1:18" s="193" customFormat="1" ht="15">
      <c r="A6" s="193" t="s">
        <v>155</v>
      </c>
      <c r="B6" s="193" t="s">
        <v>295</v>
      </c>
      <c r="C6" s="194">
        <f>VLOOKUP(A6,'Appendix B'!A:F,6,FALSE)</f>
        <v>4060900</v>
      </c>
      <c r="D6" s="194">
        <f t="shared" si="3"/>
        <v>4060090</v>
      </c>
      <c r="E6" s="194">
        <f>VLOOKUP(A6,Agresso!$A$2:$G$117,7,FALSE)</f>
        <v>2085</v>
      </c>
      <c r="F6" s="194">
        <f t="shared" si="2"/>
        <v>2090</v>
      </c>
      <c r="G6" s="194"/>
      <c r="H6" s="194">
        <v>0</v>
      </c>
      <c r="I6" s="194">
        <v>2090</v>
      </c>
      <c r="J6" s="194">
        <v>2000</v>
      </c>
      <c r="K6" s="223">
        <v>507000</v>
      </c>
      <c r="L6" s="223">
        <v>507000</v>
      </c>
      <c r="M6" s="223">
        <v>507000</v>
      </c>
      <c r="N6" s="223">
        <v>507000</v>
      </c>
      <c r="O6" s="223">
        <v>507000</v>
      </c>
      <c r="P6" s="223">
        <v>507000</v>
      </c>
      <c r="Q6" s="223">
        <v>507000</v>
      </c>
      <c r="R6" s="223">
        <v>507000</v>
      </c>
    </row>
    <row r="7" spans="1:18" s="191" customFormat="1" ht="15">
      <c r="A7" s="191" t="s">
        <v>58</v>
      </c>
      <c r="B7" s="191" t="s">
        <v>296</v>
      </c>
      <c r="C7" s="192">
        <f>VLOOKUP(A7,'Appendix B'!A:F,6,FALSE)</f>
        <v>370900</v>
      </c>
      <c r="D7" s="192">
        <f t="shared" si="3"/>
        <v>370900</v>
      </c>
      <c r="E7" s="192">
        <f>VLOOKUP(A7,Agresso!$A$2:$G$117,7,FALSE)</f>
        <v>0</v>
      </c>
      <c r="F7" s="192">
        <f t="shared" si="2"/>
        <v>0</v>
      </c>
      <c r="G7" s="192"/>
      <c r="H7" s="192">
        <v>0</v>
      </c>
      <c r="I7" s="192">
        <v>0</v>
      </c>
      <c r="J7" s="192">
        <v>1000</v>
      </c>
      <c r="K7" s="192">
        <v>0</v>
      </c>
      <c r="L7" s="192"/>
      <c r="M7" s="192">
        <f aca="true" t="shared" si="4" ref="M7:R7">369900/6</f>
        <v>61650</v>
      </c>
      <c r="N7" s="192">
        <f t="shared" si="4"/>
        <v>61650</v>
      </c>
      <c r="O7" s="192">
        <f t="shared" si="4"/>
        <v>61650</v>
      </c>
      <c r="P7" s="192">
        <f t="shared" si="4"/>
        <v>61650</v>
      </c>
      <c r="Q7" s="192">
        <f t="shared" si="4"/>
        <v>61650</v>
      </c>
      <c r="R7" s="192">
        <f t="shared" si="4"/>
        <v>61650</v>
      </c>
    </row>
    <row r="8" spans="1:18" ht="15">
      <c r="A8" t="s">
        <v>160</v>
      </c>
      <c r="B8" t="s">
        <v>297</v>
      </c>
      <c r="C8" s="122">
        <f>VLOOKUP(A8,'Appendix B'!A:F,6,FALSE)</f>
        <v>447250</v>
      </c>
      <c r="D8" s="122">
        <f t="shared" si="3"/>
        <v>0</v>
      </c>
      <c r="E8" s="122">
        <f>VLOOKUP(A8,Agresso!$A$2:$G$117,7,FALSE)</f>
        <v>0</v>
      </c>
      <c r="F8" s="122">
        <f t="shared" si="2"/>
        <v>0</v>
      </c>
      <c r="H8" s="122">
        <v>0</v>
      </c>
      <c r="I8" s="122">
        <v>0</v>
      </c>
      <c r="J8" s="122">
        <v>0</v>
      </c>
      <c r="K8" s="122">
        <v>0</v>
      </c>
      <c r="L8" s="122">
        <v>0</v>
      </c>
      <c r="M8" s="122">
        <v>0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</row>
    <row r="9" spans="1:18" ht="15">
      <c r="A9" t="s">
        <v>166</v>
      </c>
      <c r="B9" t="s">
        <v>298</v>
      </c>
      <c r="C9" s="122">
        <f>VLOOKUP(A9,'Appendix B'!A:F,6,FALSE)</f>
        <v>885800</v>
      </c>
      <c r="D9" s="122">
        <f t="shared" si="3"/>
        <v>885800</v>
      </c>
      <c r="E9" s="122">
        <f>VLOOKUP(A9,Agresso!$A$2:$G$117,7,FALSE)</f>
        <v>59003.13</v>
      </c>
      <c r="F9" s="122">
        <f t="shared" si="2"/>
        <v>60000</v>
      </c>
      <c r="H9" s="122">
        <v>30000</v>
      </c>
      <c r="I9" s="122">
        <v>30000</v>
      </c>
      <c r="J9" s="122">
        <v>5400</v>
      </c>
      <c r="K9" s="122">
        <v>5400</v>
      </c>
      <c r="L9" s="122">
        <v>64000</v>
      </c>
      <c r="M9" s="122">
        <v>129000</v>
      </c>
      <c r="N9" s="122">
        <v>129000</v>
      </c>
      <c r="O9" s="122">
        <v>140000</v>
      </c>
      <c r="P9" s="122">
        <f>179000-30000</f>
        <v>149000</v>
      </c>
      <c r="Q9" s="122">
        <v>102000</v>
      </c>
      <c r="R9" s="122">
        <v>102000</v>
      </c>
    </row>
    <row r="10" spans="1:18" ht="15">
      <c r="A10" t="s">
        <v>164</v>
      </c>
      <c r="B10" t="s">
        <v>299</v>
      </c>
      <c r="C10" s="122">
        <f>VLOOKUP(A10,'Appendix B'!A:F,6,FALSE)</f>
        <v>124000</v>
      </c>
      <c r="D10" s="122">
        <f t="shared" si="3"/>
        <v>124000</v>
      </c>
      <c r="E10" s="122">
        <f>VLOOKUP(A10,Agresso!$A$2:$G$117,7,FALSE)</f>
        <v>0</v>
      </c>
      <c r="F10" s="122">
        <f t="shared" si="2"/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124000</v>
      </c>
    </row>
    <row r="11" spans="1:18" ht="15">
      <c r="A11" t="s">
        <v>170</v>
      </c>
      <c r="B11" t="s">
        <v>300</v>
      </c>
      <c r="C11" s="122">
        <f>VLOOKUP(A11,'Appendix B'!A:F,6,FALSE)</f>
        <v>69180</v>
      </c>
      <c r="D11" s="122">
        <f t="shared" si="3"/>
        <v>69180</v>
      </c>
      <c r="E11" s="122">
        <f>VLOOKUP(A11,Agresso!$A$2:$G$117,7,FALSE)</f>
        <v>0</v>
      </c>
      <c r="F11" s="122">
        <f t="shared" si="2"/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0</v>
      </c>
      <c r="N11" s="122">
        <v>0</v>
      </c>
      <c r="O11" s="122">
        <v>0</v>
      </c>
      <c r="P11" s="122">
        <v>0</v>
      </c>
      <c r="Q11" s="122">
        <v>0</v>
      </c>
      <c r="R11" s="122">
        <v>69180</v>
      </c>
    </row>
    <row r="12" spans="1:18" ht="15">
      <c r="A12" t="s">
        <v>172</v>
      </c>
      <c r="B12" t="s">
        <v>301</v>
      </c>
      <c r="C12" s="122">
        <f>VLOOKUP(A12,'Appendix B'!A:F,6,FALSE)</f>
        <v>63170</v>
      </c>
      <c r="D12" s="122">
        <f t="shared" si="3"/>
        <v>63170</v>
      </c>
      <c r="E12" s="122">
        <f>VLOOKUP(A12,Agresso!$A$2:$G$117,7,FALSE)</f>
        <v>-0.2</v>
      </c>
      <c r="F12" s="122">
        <f t="shared" si="2"/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0</v>
      </c>
      <c r="O12" s="122">
        <v>0</v>
      </c>
      <c r="P12" s="122">
        <v>0</v>
      </c>
      <c r="Q12" s="122">
        <v>0</v>
      </c>
      <c r="R12" s="122">
        <v>63170</v>
      </c>
    </row>
    <row r="13" spans="1:18" ht="15">
      <c r="A13" t="s">
        <v>302</v>
      </c>
      <c r="B13" t="s">
        <v>303</v>
      </c>
      <c r="C13" s="122">
        <f>VLOOKUP(A13,'Appendix B'!A:F,6,FALSE)</f>
        <v>100000</v>
      </c>
      <c r="D13" s="122">
        <f t="shared" si="3"/>
        <v>100000</v>
      </c>
      <c r="E13" s="122">
        <f>VLOOKUP(A13,Agresso!$A$2:$G$117,7,FALSE)</f>
        <v>0</v>
      </c>
      <c r="F13" s="122">
        <f t="shared" si="2"/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0</v>
      </c>
      <c r="O13" s="122">
        <v>0</v>
      </c>
      <c r="P13" s="122">
        <v>0</v>
      </c>
      <c r="Q13" s="122">
        <v>0</v>
      </c>
      <c r="R13" s="122">
        <v>100000</v>
      </c>
    </row>
    <row r="14" spans="1:18" ht="15">
      <c r="A14" t="s">
        <v>304</v>
      </c>
      <c r="B14" t="s">
        <v>305</v>
      </c>
      <c r="C14" s="122">
        <f>VLOOKUP(A14,'Appendix B'!A:F,6,FALSE)</f>
        <v>70000</v>
      </c>
      <c r="D14" s="122">
        <f t="shared" si="3"/>
        <v>70000</v>
      </c>
      <c r="E14" s="122">
        <f>VLOOKUP(A14,Agresso!$A$2:$G$117,7,FALSE)</f>
        <v>0</v>
      </c>
      <c r="F14" s="122">
        <f t="shared" si="2"/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0</v>
      </c>
      <c r="O14" s="122">
        <v>0</v>
      </c>
      <c r="P14" s="122">
        <v>0</v>
      </c>
      <c r="Q14" s="122">
        <v>0</v>
      </c>
      <c r="R14" s="122">
        <v>70000</v>
      </c>
    </row>
    <row r="15" spans="1:18" ht="15">
      <c r="A15" t="s">
        <v>306</v>
      </c>
      <c r="B15" t="s">
        <v>307</v>
      </c>
      <c r="C15" s="122">
        <f>VLOOKUP(A15,'Appendix B'!A:F,6,FALSE)</f>
        <v>10000</v>
      </c>
      <c r="D15" s="122">
        <f t="shared" si="3"/>
        <v>10000</v>
      </c>
      <c r="E15" s="122">
        <f>VLOOKUP(A15,Agresso!$A$2:$G$117,7,FALSE)</f>
        <v>0</v>
      </c>
      <c r="F15" s="122">
        <f t="shared" si="2"/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0</v>
      </c>
      <c r="Q15" s="122">
        <v>0</v>
      </c>
      <c r="R15" s="122">
        <v>10000</v>
      </c>
    </row>
    <row r="16" spans="1:18" ht="15">
      <c r="A16" t="s">
        <v>308</v>
      </c>
      <c r="B16" t="s">
        <v>309</v>
      </c>
      <c r="C16" s="122">
        <f>VLOOKUP(A16,'Appendix B'!A:F,6,FALSE)</f>
        <v>200000</v>
      </c>
      <c r="D16" s="122">
        <f t="shared" si="3"/>
        <v>200000</v>
      </c>
      <c r="E16" s="122">
        <f>VLOOKUP(A16,Agresso!$A$2:$G$117,7,FALSE)</f>
        <v>0</v>
      </c>
      <c r="F16" s="122">
        <f t="shared" si="2"/>
        <v>0</v>
      </c>
      <c r="H16" s="122">
        <v>0</v>
      </c>
      <c r="I16" s="122">
        <v>0</v>
      </c>
      <c r="J16" s="122">
        <v>0</v>
      </c>
      <c r="K16" s="122">
        <v>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200000</v>
      </c>
    </row>
    <row r="17" spans="1:18" ht="15">
      <c r="A17" t="s">
        <v>162</v>
      </c>
      <c r="B17" t="s">
        <v>310</v>
      </c>
      <c r="C17" s="122">
        <f>VLOOKUP(A17,'Appendix B'!A:F,6,FALSE)</f>
        <v>100000</v>
      </c>
      <c r="D17" s="122">
        <f t="shared" si="3"/>
        <v>100000</v>
      </c>
      <c r="E17" s="122">
        <f>VLOOKUP(A17,Agresso!$A$2:$G$117,7,FALSE)</f>
        <v>0</v>
      </c>
      <c r="F17" s="122">
        <f t="shared" si="2"/>
        <v>0</v>
      </c>
      <c r="H17" s="122">
        <v>0</v>
      </c>
      <c r="I17" s="122">
        <v>0</v>
      </c>
      <c r="J17" s="122">
        <v>0</v>
      </c>
      <c r="K17" s="122">
        <v>0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100000</v>
      </c>
    </row>
    <row r="18" spans="1:18" ht="15">
      <c r="A18" t="s">
        <v>84</v>
      </c>
      <c r="B18" t="s">
        <v>694</v>
      </c>
      <c r="C18" s="122">
        <f>VLOOKUP(A18,'Appendix B'!A:F,6,FALSE)</f>
        <v>27000</v>
      </c>
      <c r="D18" s="122">
        <f t="shared" si="3"/>
        <v>27000</v>
      </c>
      <c r="E18" s="122">
        <f>VLOOKUP(A18,Agresso!$A$2:$G$117,7,FALSE)</f>
        <v>0</v>
      </c>
      <c r="F18" s="122">
        <f t="shared" si="2"/>
        <v>0</v>
      </c>
      <c r="H18" s="122">
        <v>0</v>
      </c>
      <c r="I18" s="122">
        <v>0</v>
      </c>
      <c r="J18" s="122">
        <v>0</v>
      </c>
      <c r="K18" s="122">
        <v>0</v>
      </c>
      <c r="L18" s="122">
        <v>0</v>
      </c>
      <c r="M18" s="122">
        <v>0</v>
      </c>
      <c r="N18" s="122">
        <v>0</v>
      </c>
      <c r="O18" s="122">
        <v>0</v>
      </c>
      <c r="P18" s="122">
        <f>27000/3</f>
        <v>9000</v>
      </c>
      <c r="Q18" s="122">
        <f>27000/3</f>
        <v>9000</v>
      </c>
      <c r="R18" s="122">
        <f>27000/3</f>
        <v>9000</v>
      </c>
    </row>
    <row r="19" spans="1:18" ht="15">
      <c r="A19" t="s">
        <v>71</v>
      </c>
      <c r="B19" t="s">
        <v>311</v>
      </c>
      <c r="C19" s="122">
        <f>VLOOKUP(A19,'Appendix B'!A:F,6,FALSE)</f>
        <v>19440</v>
      </c>
      <c r="D19" s="122">
        <f t="shared" si="3"/>
        <v>19440</v>
      </c>
      <c r="E19" s="122">
        <f>VLOOKUP(A19,Agresso!$A$2:$G$117,7,FALSE)</f>
        <v>32105.6</v>
      </c>
      <c r="F19" s="122">
        <f t="shared" si="2"/>
        <v>19440</v>
      </c>
      <c r="H19" s="122">
        <v>0</v>
      </c>
      <c r="I19" s="122">
        <v>19440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</row>
    <row r="20" spans="1:18" ht="15">
      <c r="A20" t="s">
        <v>73</v>
      </c>
      <c r="B20" t="s">
        <v>695</v>
      </c>
      <c r="C20" s="122">
        <f>VLOOKUP(A20,'Appendix B'!A:F,6,FALSE)</f>
        <v>56900</v>
      </c>
      <c r="D20" s="122">
        <f t="shared" si="3"/>
        <v>56900</v>
      </c>
      <c r="E20" s="122">
        <f>VLOOKUP(A20,Agresso!$A$2:$G$117,7,FALSE)</f>
        <v>0</v>
      </c>
      <c r="F20" s="122">
        <f t="shared" si="2"/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0</v>
      </c>
      <c r="R20" s="122">
        <v>56900</v>
      </c>
    </row>
    <row r="21" spans="1:18" ht="15">
      <c r="A21" t="s">
        <v>75</v>
      </c>
      <c r="B21" t="s">
        <v>312</v>
      </c>
      <c r="C21" s="122">
        <f>VLOOKUP(A21,'Appendix B'!A:F,6,FALSE)</f>
        <v>113200</v>
      </c>
      <c r="D21" s="122">
        <f t="shared" si="3"/>
        <v>113200</v>
      </c>
      <c r="E21" s="122">
        <f>VLOOKUP(A21,Agresso!$A$2:$G$117,7,FALSE)</f>
        <v>47.29</v>
      </c>
      <c r="F21" s="122">
        <f t="shared" si="2"/>
        <v>0</v>
      </c>
      <c r="H21" s="122">
        <v>0</v>
      </c>
      <c r="I21" s="122">
        <v>0</v>
      </c>
      <c r="J21" s="122">
        <v>5000</v>
      </c>
      <c r="K21" s="122">
        <v>0</v>
      </c>
      <c r="L21" s="122">
        <v>0</v>
      </c>
      <c r="M21" s="122">
        <v>2500</v>
      </c>
      <c r="N21" s="122">
        <v>0</v>
      </c>
      <c r="O21" s="122">
        <v>0</v>
      </c>
      <c r="P21" s="122">
        <v>0</v>
      </c>
      <c r="Q21" s="122">
        <v>13200</v>
      </c>
      <c r="R21" s="122">
        <v>92500</v>
      </c>
    </row>
    <row r="22" spans="1:18" ht="15">
      <c r="A22" t="s">
        <v>66</v>
      </c>
      <c r="B22" t="s">
        <v>63</v>
      </c>
      <c r="C22" s="122">
        <f>VLOOKUP(A22,'Appendix B'!A:F,6,FALSE)</f>
        <v>367170</v>
      </c>
      <c r="D22" s="122">
        <f t="shared" si="3"/>
        <v>367170</v>
      </c>
      <c r="E22" s="122">
        <f>VLOOKUP(A22,Agresso!$A$2:$G$117,7,FALSE)</f>
        <v>9429.22</v>
      </c>
      <c r="F22" s="122">
        <f t="shared" si="2"/>
        <v>0</v>
      </c>
      <c r="H22" s="122">
        <v>0</v>
      </c>
      <c r="I22" s="122">
        <v>0</v>
      </c>
      <c r="J22" s="122">
        <v>500</v>
      </c>
      <c r="K22" s="122">
        <v>0</v>
      </c>
      <c r="L22" s="122">
        <v>3700</v>
      </c>
      <c r="M22" s="122">
        <v>42363</v>
      </c>
      <c r="N22" s="122">
        <v>0</v>
      </c>
      <c r="O22" s="122">
        <v>40250</v>
      </c>
      <c r="P22" s="122">
        <v>24125</v>
      </c>
      <c r="Q22" s="122">
        <v>0</v>
      </c>
      <c r="R22" s="122">
        <v>256232</v>
      </c>
    </row>
    <row r="23" spans="1:18" ht="15">
      <c r="A23" t="s">
        <v>68</v>
      </c>
      <c r="B23" t="s">
        <v>313</v>
      </c>
      <c r="C23" s="122">
        <f>VLOOKUP(A23,'Appendix B'!A:F,6,FALSE)</f>
        <v>576300</v>
      </c>
      <c r="D23" s="122">
        <f t="shared" si="3"/>
        <v>576000</v>
      </c>
      <c r="E23" s="122">
        <f>VLOOKUP(A23,Agresso!$A$2:$G$117,7,FALSE)</f>
        <v>20470.25</v>
      </c>
      <c r="F23" s="122">
        <f t="shared" si="2"/>
        <v>21000</v>
      </c>
      <c r="G23" s="122">
        <v>7000</v>
      </c>
      <c r="H23" s="122">
        <v>7000</v>
      </c>
      <c r="I23" s="122">
        <v>7000</v>
      </c>
      <c r="J23" s="122">
        <v>50000</v>
      </c>
      <c r="K23" s="122">
        <v>50000</v>
      </c>
      <c r="L23" s="122">
        <v>50000</v>
      </c>
      <c r="M23" s="122">
        <v>55000</v>
      </c>
      <c r="N23" s="122">
        <v>70000</v>
      </c>
      <c r="O23" s="122">
        <v>70000</v>
      </c>
      <c r="P23" s="122">
        <v>70000</v>
      </c>
      <c r="Q23" s="122">
        <v>70000</v>
      </c>
      <c r="R23" s="122">
        <v>70000</v>
      </c>
    </row>
    <row r="24" spans="1:18" ht="15">
      <c r="A24" t="s">
        <v>77</v>
      </c>
      <c r="B24" t="s">
        <v>314</v>
      </c>
      <c r="C24" s="122">
        <f>VLOOKUP(A24,'Appendix B'!A:F,6,FALSE)</f>
        <v>202100</v>
      </c>
      <c r="D24" s="122">
        <f t="shared" si="3"/>
        <v>202100</v>
      </c>
      <c r="E24" s="122">
        <f>VLOOKUP(A24,Agresso!$A$2:$G$117,7,FALSE)</f>
        <v>56545.65</v>
      </c>
      <c r="F24" s="122">
        <f t="shared" si="2"/>
        <v>57000</v>
      </c>
      <c r="H24" s="122">
        <v>0</v>
      </c>
      <c r="I24" s="122">
        <v>57000</v>
      </c>
      <c r="J24" s="122">
        <v>18350</v>
      </c>
      <c r="K24" s="122">
        <v>3500</v>
      </c>
      <c r="L24" s="122">
        <v>30000</v>
      </c>
      <c r="M24" s="122">
        <v>30000</v>
      </c>
      <c r="N24" s="122">
        <v>31250</v>
      </c>
      <c r="O24" s="122">
        <v>26250</v>
      </c>
      <c r="P24" s="122">
        <v>4250</v>
      </c>
      <c r="Q24" s="122">
        <v>0</v>
      </c>
      <c r="R24" s="122">
        <v>1500</v>
      </c>
    </row>
    <row r="25" spans="1:18" ht="15">
      <c r="A25" t="s">
        <v>105</v>
      </c>
      <c r="B25" t="s">
        <v>315</v>
      </c>
      <c r="C25" s="122">
        <f>VLOOKUP(A25,'Appendix B'!A:F,6,FALSE)</f>
        <v>296100</v>
      </c>
      <c r="D25" s="122">
        <f t="shared" si="3"/>
        <v>296100</v>
      </c>
      <c r="E25" s="122">
        <f>VLOOKUP(A25,Agresso!$A$2:$G$117,7,FALSE)</f>
        <v>1447.19</v>
      </c>
      <c r="F25" s="122">
        <f t="shared" si="2"/>
        <v>1500</v>
      </c>
      <c r="H25" s="122">
        <v>0</v>
      </c>
      <c r="I25" s="122">
        <v>1500</v>
      </c>
      <c r="J25" s="122">
        <v>9000</v>
      </c>
      <c r="K25" s="122">
        <v>0</v>
      </c>
      <c r="L25" s="122">
        <v>0</v>
      </c>
      <c r="M25" s="122">
        <v>2300</v>
      </c>
      <c r="N25" s="122">
        <v>6500</v>
      </c>
      <c r="O25" s="122">
        <v>15000</v>
      </c>
      <c r="P25" s="122">
        <v>500</v>
      </c>
      <c r="Q25" s="122">
        <v>16000</v>
      </c>
      <c r="R25" s="122">
        <v>245300</v>
      </c>
    </row>
    <row r="26" spans="1:18" ht="15">
      <c r="A26" t="s">
        <v>86</v>
      </c>
      <c r="B26" t="s">
        <v>316</v>
      </c>
      <c r="C26" s="122">
        <f>VLOOKUP(A26,'Appendix B'!A:F,6,FALSE)</f>
        <v>217280</v>
      </c>
      <c r="D26" s="122">
        <f t="shared" si="3"/>
        <v>217280</v>
      </c>
      <c r="E26" s="122">
        <f>VLOOKUP(A26,Agresso!$A$2:$G$117,7,FALSE)</f>
        <v>3460.45</v>
      </c>
      <c r="F26" s="122">
        <f t="shared" si="2"/>
        <v>5000</v>
      </c>
      <c r="H26" s="122">
        <v>0</v>
      </c>
      <c r="I26" s="122">
        <v>5000</v>
      </c>
      <c r="J26" s="122">
        <v>45000</v>
      </c>
      <c r="K26" s="122">
        <v>60000</v>
      </c>
      <c r="L26" s="122">
        <v>0</v>
      </c>
      <c r="M26" s="122">
        <v>0</v>
      </c>
      <c r="N26" s="122">
        <v>0</v>
      </c>
      <c r="O26" s="122">
        <v>0</v>
      </c>
      <c r="P26" s="122">
        <v>57500</v>
      </c>
      <c r="Q26" s="122">
        <v>0</v>
      </c>
      <c r="R26" s="122">
        <v>49780</v>
      </c>
    </row>
    <row r="27" spans="1:18" ht="15">
      <c r="A27" t="s">
        <v>88</v>
      </c>
      <c r="B27" t="s">
        <v>317</v>
      </c>
      <c r="C27" s="122">
        <f>VLOOKUP(A27,'Appendix B'!A:F,6,FALSE)</f>
        <v>67480</v>
      </c>
      <c r="D27" s="122">
        <f t="shared" si="3"/>
        <v>67480</v>
      </c>
      <c r="E27" s="122">
        <f>VLOOKUP(A27,Agresso!$A$2:$G$117,7,FALSE)</f>
        <v>2963.69</v>
      </c>
      <c r="F27" s="122">
        <f t="shared" si="2"/>
        <v>3000</v>
      </c>
      <c r="H27" s="122">
        <v>0</v>
      </c>
      <c r="I27" s="122">
        <v>3000</v>
      </c>
      <c r="J27" s="122">
        <v>22000</v>
      </c>
      <c r="K27" s="122">
        <v>0</v>
      </c>
      <c r="L27" s="122">
        <v>0</v>
      </c>
      <c r="M27" s="122">
        <v>0</v>
      </c>
      <c r="N27" s="122">
        <v>0</v>
      </c>
      <c r="O27" s="122">
        <v>0</v>
      </c>
      <c r="P27" s="122">
        <v>0</v>
      </c>
      <c r="Q27" s="122">
        <v>0</v>
      </c>
      <c r="R27" s="122">
        <v>42480</v>
      </c>
    </row>
    <row r="28" spans="1:18" ht="15">
      <c r="A28" t="s">
        <v>318</v>
      </c>
      <c r="B28" t="s">
        <v>319</v>
      </c>
      <c r="C28" s="122">
        <f>VLOOKUP(A28,'Appendix B'!A:F,6,FALSE)</f>
        <v>203000</v>
      </c>
      <c r="D28" s="122">
        <f t="shared" si="3"/>
        <v>203000</v>
      </c>
      <c r="E28" s="122">
        <f>VLOOKUP(A28,Agresso!$A$2:$G$117,7,FALSE)</f>
        <v>51200.9</v>
      </c>
      <c r="F28" s="122">
        <f t="shared" si="2"/>
        <v>50000</v>
      </c>
      <c r="H28" s="122">
        <v>0</v>
      </c>
      <c r="I28" s="122">
        <v>50000</v>
      </c>
      <c r="J28" s="122">
        <v>1500</v>
      </c>
      <c r="K28" s="122">
        <v>0</v>
      </c>
      <c r="L28" s="122">
        <v>0</v>
      </c>
      <c r="M28" s="122">
        <v>1000</v>
      </c>
      <c r="N28" s="122">
        <v>0</v>
      </c>
      <c r="O28" s="122">
        <v>26250</v>
      </c>
      <c r="P28" s="122">
        <v>1250</v>
      </c>
      <c r="Q28" s="122">
        <v>0</v>
      </c>
      <c r="R28" s="122">
        <v>123000</v>
      </c>
    </row>
    <row r="29" spans="1:18" ht="15">
      <c r="A29" t="s">
        <v>92</v>
      </c>
      <c r="B29" t="s">
        <v>320</v>
      </c>
      <c r="C29" s="122">
        <f>VLOOKUP(A29,'Appendix B'!A:F,6,FALSE)</f>
        <v>47200</v>
      </c>
      <c r="D29" s="122">
        <f t="shared" si="3"/>
        <v>47200</v>
      </c>
      <c r="E29" s="122">
        <f>VLOOKUP(A29,Agresso!$A$2:$G$117,7,FALSE)</f>
        <v>0</v>
      </c>
      <c r="F29" s="122">
        <f t="shared" si="2"/>
        <v>0</v>
      </c>
      <c r="H29" s="122">
        <v>0</v>
      </c>
      <c r="I29" s="122">
        <v>0</v>
      </c>
      <c r="J29" s="122">
        <v>0</v>
      </c>
      <c r="K29" s="122">
        <v>0</v>
      </c>
      <c r="L29" s="122">
        <v>0</v>
      </c>
      <c r="M29" s="122">
        <v>0</v>
      </c>
      <c r="N29" s="122">
        <v>0</v>
      </c>
      <c r="O29" s="122">
        <v>0</v>
      </c>
      <c r="P29" s="122">
        <v>0</v>
      </c>
      <c r="Q29" s="122">
        <v>0</v>
      </c>
      <c r="R29" s="122">
        <v>47200</v>
      </c>
    </row>
    <row r="30" spans="1:18" ht="15">
      <c r="A30" t="s">
        <v>94</v>
      </c>
      <c r="B30" t="s">
        <v>321</v>
      </c>
      <c r="C30" s="122">
        <f>VLOOKUP(A30,'Appendix B'!A:F,6,FALSE)</f>
        <v>39250</v>
      </c>
      <c r="D30" s="122">
        <f t="shared" si="3"/>
        <v>39250</v>
      </c>
      <c r="E30" s="122">
        <f>VLOOKUP(A30,Agresso!$A$2:$G$117,7,FALSE)</f>
        <v>1615.63</v>
      </c>
      <c r="F30" s="122">
        <f t="shared" si="2"/>
        <v>2000</v>
      </c>
      <c r="H30" s="122">
        <v>0</v>
      </c>
      <c r="I30" s="122">
        <v>2000</v>
      </c>
      <c r="J30" s="122">
        <v>5000</v>
      </c>
      <c r="K30" s="122">
        <v>2250</v>
      </c>
      <c r="L30" s="122">
        <v>0</v>
      </c>
      <c r="M30" s="122">
        <v>0</v>
      </c>
      <c r="N30" s="122">
        <v>0</v>
      </c>
      <c r="O30" s="122">
        <v>0</v>
      </c>
      <c r="P30" s="122">
        <v>0</v>
      </c>
      <c r="Q30" s="122">
        <v>0</v>
      </c>
      <c r="R30" s="122">
        <v>30000</v>
      </c>
    </row>
    <row r="31" spans="1:18" ht="15">
      <c r="A31" t="s">
        <v>96</v>
      </c>
      <c r="B31" t="s">
        <v>322</v>
      </c>
      <c r="C31" s="122">
        <f>VLOOKUP(A31,'Appendix B'!A:F,6,FALSE)</f>
        <v>75720</v>
      </c>
      <c r="D31" s="122">
        <f t="shared" si="3"/>
        <v>75720</v>
      </c>
      <c r="E31" s="122">
        <f>VLOOKUP(A31,Agresso!$A$2:$G$117,7,FALSE)</f>
        <v>3747.79</v>
      </c>
      <c r="F31" s="122">
        <f t="shared" si="2"/>
        <v>4000</v>
      </c>
      <c r="H31" s="122">
        <v>0</v>
      </c>
      <c r="I31" s="122">
        <v>4000</v>
      </c>
      <c r="J31" s="122">
        <v>0</v>
      </c>
      <c r="K31" s="122">
        <v>0</v>
      </c>
      <c r="L31" s="122">
        <v>0</v>
      </c>
      <c r="M31" s="122">
        <v>0</v>
      </c>
      <c r="N31" s="122">
        <v>13000</v>
      </c>
      <c r="O31" s="122">
        <v>0</v>
      </c>
      <c r="P31" s="122">
        <v>0</v>
      </c>
      <c r="Q31" s="122">
        <v>0</v>
      </c>
      <c r="R31" s="122">
        <v>58720</v>
      </c>
    </row>
    <row r="32" spans="1:18" ht="15">
      <c r="A32" t="s">
        <v>120</v>
      </c>
      <c r="B32" t="s">
        <v>323</v>
      </c>
      <c r="C32" s="122">
        <f>VLOOKUP(A32,'Appendix B'!A:F,6,FALSE)</f>
        <v>55200</v>
      </c>
      <c r="D32" s="122">
        <f t="shared" si="3"/>
        <v>55200</v>
      </c>
      <c r="E32" s="122">
        <f>VLOOKUP(A32,Agresso!$A$2:$G$117,7,FALSE)</f>
        <v>3738.04</v>
      </c>
      <c r="F32" s="122">
        <f t="shared" si="2"/>
        <v>4000</v>
      </c>
      <c r="H32" s="122">
        <v>0</v>
      </c>
      <c r="I32" s="122">
        <v>4000</v>
      </c>
      <c r="J32" s="122">
        <v>0</v>
      </c>
      <c r="K32" s="122">
        <v>0</v>
      </c>
      <c r="L32" s="122">
        <v>0</v>
      </c>
      <c r="M32" s="122">
        <v>0</v>
      </c>
      <c r="N32" s="122">
        <v>0</v>
      </c>
      <c r="O32" s="122">
        <v>45500</v>
      </c>
      <c r="P32" s="122">
        <v>0</v>
      </c>
      <c r="Q32" s="122">
        <v>0</v>
      </c>
      <c r="R32" s="122">
        <v>5700</v>
      </c>
    </row>
    <row r="33" spans="1:18" ht="15">
      <c r="A33" t="s">
        <v>122</v>
      </c>
      <c r="B33" t="s">
        <v>324</v>
      </c>
      <c r="C33" s="122">
        <f>VLOOKUP(A33,'Appendix B'!A:F,6,FALSE)</f>
        <v>43800</v>
      </c>
      <c r="D33" s="122">
        <f t="shared" si="3"/>
        <v>43800</v>
      </c>
      <c r="E33" s="122">
        <f>VLOOKUP(A33,Agresso!$A$2:$G$117,7,FALSE)</f>
        <v>0</v>
      </c>
      <c r="F33" s="122">
        <f t="shared" si="2"/>
        <v>0</v>
      </c>
      <c r="H33" s="122">
        <v>0</v>
      </c>
      <c r="I33" s="122">
        <v>0</v>
      </c>
      <c r="J33" s="122">
        <v>0</v>
      </c>
      <c r="K33" s="122">
        <v>0</v>
      </c>
      <c r="L33" s="122">
        <v>0</v>
      </c>
      <c r="M33" s="122">
        <v>0</v>
      </c>
      <c r="N33" s="122">
        <v>0</v>
      </c>
      <c r="O33" s="122">
        <v>0</v>
      </c>
      <c r="P33" s="122">
        <v>34000</v>
      </c>
      <c r="Q33" s="122">
        <v>0</v>
      </c>
      <c r="R33" s="122">
        <v>9800</v>
      </c>
    </row>
    <row r="34" spans="1:18" ht="15">
      <c r="A34" t="s">
        <v>124</v>
      </c>
      <c r="B34" t="s">
        <v>325</v>
      </c>
      <c r="C34" s="122">
        <f>VLOOKUP(A34,'Appendix B'!A:F,6,FALSE)</f>
        <v>460300</v>
      </c>
      <c r="D34" s="122">
        <f t="shared" si="3"/>
        <v>460300</v>
      </c>
      <c r="E34" s="122">
        <f>VLOOKUP(A34,Agresso!$A$2:$G$117,7,FALSE)</f>
        <v>124376.48</v>
      </c>
      <c r="F34" s="122">
        <f t="shared" si="2"/>
        <v>125000</v>
      </c>
      <c r="H34" s="190">
        <v>55000</v>
      </c>
      <c r="I34" s="122">
        <v>70000</v>
      </c>
      <c r="J34" s="122">
        <v>0</v>
      </c>
      <c r="K34" s="122">
        <v>0</v>
      </c>
      <c r="L34" s="122">
        <f>206875-70000</f>
        <v>136875</v>
      </c>
      <c r="M34" s="122">
        <v>28750</v>
      </c>
      <c r="N34" s="122">
        <v>0</v>
      </c>
      <c r="O34" s="122">
        <v>0</v>
      </c>
      <c r="P34" s="122">
        <v>0</v>
      </c>
      <c r="Q34" s="122">
        <v>0</v>
      </c>
      <c r="R34" s="122">
        <v>169675</v>
      </c>
    </row>
    <row r="35" spans="1:18" ht="15">
      <c r="A35" t="s">
        <v>109</v>
      </c>
      <c r="B35" t="s">
        <v>326</v>
      </c>
      <c r="C35" s="122">
        <f>VLOOKUP(A35,'Appendix B'!A:F,6,FALSE)</f>
        <v>90000</v>
      </c>
      <c r="D35" s="122">
        <f t="shared" si="3"/>
        <v>90000</v>
      </c>
      <c r="E35" s="122">
        <f>VLOOKUP(A35,Agresso!$A$2:$G$117,7,FALSE)</f>
        <v>48754.84</v>
      </c>
      <c r="F35" s="122">
        <f t="shared" si="2"/>
        <v>48000</v>
      </c>
      <c r="G35" s="122">
        <v>16000</v>
      </c>
      <c r="H35" s="122">
        <v>16000</v>
      </c>
      <c r="I35" s="122">
        <v>16000</v>
      </c>
      <c r="J35" s="122">
        <v>0</v>
      </c>
      <c r="K35" s="122">
        <v>0</v>
      </c>
      <c r="L35" s="122">
        <v>0</v>
      </c>
      <c r="M35" s="122">
        <v>3000</v>
      </c>
      <c r="N35" s="122">
        <v>0</v>
      </c>
      <c r="O35" s="122">
        <v>0</v>
      </c>
      <c r="P35" s="122">
        <v>0</v>
      </c>
      <c r="Q35" s="122">
        <v>0</v>
      </c>
      <c r="R35" s="122">
        <f>71000-32000</f>
        <v>39000</v>
      </c>
    </row>
    <row r="36" spans="1:18" ht="15">
      <c r="A36" t="s">
        <v>135</v>
      </c>
      <c r="B36" t="s">
        <v>134</v>
      </c>
      <c r="C36" s="122">
        <f>VLOOKUP(A36,'Appendix B'!A:F,6,FALSE)</f>
        <v>335480</v>
      </c>
      <c r="D36" s="122">
        <f t="shared" si="3"/>
        <v>335480</v>
      </c>
      <c r="E36" s="122">
        <f>VLOOKUP(A36,Agresso!$A$2:$G$117,7,FALSE)</f>
        <v>29503.92</v>
      </c>
      <c r="F36" s="122">
        <f t="shared" si="2"/>
        <v>30000</v>
      </c>
      <c r="H36" s="122">
        <v>0</v>
      </c>
      <c r="I36" s="122">
        <v>30000</v>
      </c>
      <c r="J36" s="122">
        <v>14625</v>
      </c>
      <c r="K36" s="122">
        <v>21875</v>
      </c>
      <c r="L36" s="122">
        <v>31250</v>
      </c>
      <c r="M36" s="122">
        <v>23750</v>
      </c>
      <c r="N36" s="122">
        <v>13125</v>
      </c>
      <c r="O36" s="122">
        <v>56875</v>
      </c>
      <c r="P36" s="122">
        <f>124875-90000</f>
        <v>34875</v>
      </c>
      <c r="Q36" s="122">
        <v>23605</v>
      </c>
      <c r="R36" s="122">
        <v>85500</v>
      </c>
    </row>
    <row r="37" spans="1:18" ht="15">
      <c r="A37" t="s">
        <v>117</v>
      </c>
      <c r="B37" t="s">
        <v>327</v>
      </c>
      <c r="C37" s="122">
        <f>VLOOKUP(A37,'Appendix B'!A:F,6,FALSE)</f>
        <v>0</v>
      </c>
      <c r="D37" s="122">
        <f aca="true" t="shared" si="5" ref="D37:D68">SUM(G37:R37)</f>
        <v>0</v>
      </c>
      <c r="E37" s="122">
        <f>VLOOKUP(A37,Agresso!$A$2:$G$117,7,FALSE)</f>
        <v>0</v>
      </c>
      <c r="F37" s="122">
        <f t="shared" si="2"/>
        <v>0</v>
      </c>
      <c r="H37" s="122">
        <v>0</v>
      </c>
      <c r="I37" s="122">
        <v>0</v>
      </c>
      <c r="J37" s="122">
        <v>0</v>
      </c>
      <c r="K37" s="122">
        <v>0</v>
      </c>
      <c r="L37" s="122">
        <v>0</v>
      </c>
      <c r="M37" s="122">
        <v>0</v>
      </c>
      <c r="N37" s="122">
        <v>0</v>
      </c>
      <c r="O37" s="122">
        <v>0</v>
      </c>
      <c r="P37" s="122">
        <v>0</v>
      </c>
      <c r="Q37" s="122">
        <v>0</v>
      </c>
      <c r="R37" s="122">
        <v>0</v>
      </c>
    </row>
    <row r="38" spans="1:18" ht="15">
      <c r="A38" t="s">
        <v>79</v>
      </c>
      <c r="B38" t="s">
        <v>328</v>
      </c>
      <c r="C38" s="122">
        <f>VLOOKUP(A38,'Appendix B'!A:F,6,FALSE)</f>
        <v>125200</v>
      </c>
      <c r="D38" s="122">
        <f t="shared" si="5"/>
        <v>129375</v>
      </c>
      <c r="E38" s="122">
        <f>VLOOKUP(A38,Agresso!$A$2:$G$117,7,FALSE)</f>
        <v>0</v>
      </c>
      <c r="F38" s="122">
        <f t="shared" si="2"/>
        <v>0</v>
      </c>
      <c r="H38" s="122">
        <v>0</v>
      </c>
      <c r="I38" s="122">
        <v>0</v>
      </c>
      <c r="J38" s="122">
        <v>65000</v>
      </c>
      <c r="K38" s="122">
        <v>50000</v>
      </c>
      <c r="L38" s="122">
        <v>10000</v>
      </c>
      <c r="M38" s="122">
        <v>4375</v>
      </c>
      <c r="N38" s="122">
        <v>0</v>
      </c>
      <c r="O38" s="122">
        <v>0</v>
      </c>
      <c r="P38" s="122">
        <v>0</v>
      </c>
      <c r="Q38" s="122">
        <v>0</v>
      </c>
      <c r="R38" s="122">
        <v>0</v>
      </c>
    </row>
    <row r="39" spans="1:18" ht="15">
      <c r="A39" t="s">
        <v>126</v>
      </c>
      <c r="B39" t="s">
        <v>329</v>
      </c>
      <c r="C39" s="122">
        <f>VLOOKUP(A39,'Appendix B'!A:F,6,FALSE)</f>
        <v>54600</v>
      </c>
      <c r="D39" s="122">
        <f t="shared" si="5"/>
        <v>54600</v>
      </c>
      <c r="E39" s="122">
        <f>VLOOKUP(A39,Agresso!$A$2:$G$117,7,FALSE)</f>
        <v>0</v>
      </c>
      <c r="F39" s="122">
        <f t="shared" si="2"/>
        <v>0</v>
      </c>
      <c r="H39" s="122">
        <v>0</v>
      </c>
      <c r="I39" s="122">
        <v>0</v>
      </c>
      <c r="J39" s="122">
        <v>0</v>
      </c>
      <c r="K39" s="122">
        <v>0</v>
      </c>
      <c r="L39" s="122">
        <v>0</v>
      </c>
      <c r="M39" s="122">
        <v>0</v>
      </c>
      <c r="N39" s="122">
        <v>0</v>
      </c>
      <c r="O39" s="122">
        <v>0</v>
      </c>
      <c r="P39" s="122">
        <v>0</v>
      </c>
      <c r="Q39" s="122">
        <v>0</v>
      </c>
      <c r="R39" s="122">
        <v>54600</v>
      </c>
    </row>
    <row r="40" spans="1:18" ht="15">
      <c r="A40" t="s">
        <v>128</v>
      </c>
      <c r="B40" t="s">
        <v>330</v>
      </c>
      <c r="C40" s="122">
        <f>VLOOKUP(A40,'Appendix B'!A:F,6,FALSE)</f>
        <v>172000</v>
      </c>
      <c r="D40" s="122">
        <f t="shared" si="5"/>
        <v>172000</v>
      </c>
      <c r="E40" s="122">
        <f>VLOOKUP(A40,Agresso!$A$2:$G$117,7,FALSE)</f>
        <v>76854.7</v>
      </c>
      <c r="F40" s="122">
        <f t="shared" si="2"/>
        <v>72000</v>
      </c>
      <c r="G40" s="122">
        <v>36000</v>
      </c>
      <c r="H40" s="122">
        <v>0</v>
      </c>
      <c r="I40" s="122">
        <v>36000</v>
      </c>
      <c r="J40" s="122">
        <v>36000</v>
      </c>
      <c r="K40" s="122">
        <v>32000</v>
      </c>
      <c r="L40" s="122">
        <v>32000</v>
      </c>
      <c r="M40" s="122">
        <v>0</v>
      </c>
      <c r="N40" s="122">
        <v>0</v>
      </c>
      <c r="O40" s="122">
        <v>0</v>
      </c>
      <c r="P40" s="122">
        <v>0</v>
      </c>
      <c r="Q40" s="122">
        <v>0</v>
      </c>
      <c r="R40" s="122">
        <v>0</v>
      </c>
    </row>
    <row r="41" spans="1:18" ht="15">
      <c r="A41" t="s">
        <v>141</v>
      </c>
      <c r="B41" t="s">
        <v>331</v>
      </c>
      <c r="C41" s="122">
        <f>VLOOKUP(A41,'Appendix B'!A:F,6,FALSE)</f>
        <v>333000</v>
      </c>
      <c r="D41" s="122">
        <f t="shared" si="5"/>
        <v>400000</v>
      </c>
      <c r="E41" s="122">
        <f>VLOOKUP(A41,Agresso!$A$2:$G$117,7,FALSE)</f>
        <v>304.69</v>
      </c>
      <c r="F41" s="122">
        <f t="shared" si="2"/>
        <v>0</v>
      </c>
      <c r="H41" s="122">
        <v>0</v>
      </c>
      <c r="I41" s="122">
        <v>0</v>
      </c>
      <c r="J41" s="122">
        <v>0</v>
      </c>
      <c r="K41" s="122">
        <v>0</v>
      </c>
      <c r="L41" s="122">
        <v>0</v>
      </c>
      <c r="M41" s="122">
        <v>20000</v>
      </c>
      <c r="N41" s="122">
        <v>0</v>
      </c>
      <c r="O41" s="122">
        <v>0</v>
      </c>
      <c r="P41" s="122">
        <v>10000</v>
      </c>
      <c r="Q41" s="122">
        <v>0</v>
      </c>
      <c r="R41" s="122">
        <v>370000</v>
      </c>
    </row>
    <row r="42" spans="1:18" ht="15">
      <c r="A42" t="s">
        <v>130</v>
      </c>
      <c r="B42" t="s">
        <v>332</v>
      </c>
      <c r="C42" s="122">
        <f>VLOOKUP(A42,'Appendix B'!A:F,6,FALSE)</f>
        <v>47000</v>
      </c>
      <c r="D42" s="122">
        <f t="shared" si="5"/>
        <v>47000</v>
      </c>
      <c r="E42" s="122">
        <f>VLOOKUP(A42,Agresso!$A$2:$G$117,7,FALSE)</f>
        <v>50719</v>
      </c>
      <c r="F42" s="122">
        <f t="shared" si="2"/>
        <v>47000</v>
      </c>
      <c r="G42" s="122">
        <v>47000</v>
      </c>
      <c r="H42" s="122">
        <v>0</v>
      </c>
      <c r="I42" s="122">
        <v>0</v>
      </c>
      <c r="J42" s="122">
        <v>0</v>
      </c>
      <c r="K42" s="122">
        <v>0</v>
      </c>
      <c r="L42" s="122">
        <v>0</v>
      </c>
      <c r="M42" s="122">
        <v>0</v>
      </c>
      <c r="N42" s="122">
        <v>0</v>
      </c>
      <c r="O42" s="122">
        <v>0</v>
      </c>
      <c r="P42" s="122">
        <v>0</v>
      </c>
      <c r="Q42" s="122">
        <v>0</v>
      </c>
      <c r="R42" s="122">
        <v>0</v>
      </c>
    </row>
    <row r="43" spans="1:18" ht="15">
      <c r="A43" t="s">
        <v>333</v>
      </c>
      <c r="B43" t="s">
        <v>334</v>
      </c>
      <c r="C43" s="122">
        <f>VLOOKUP(A43,'Appendix B'!A:F,6,FALSE)</f>
        <v>350000</v>
      </c>
      <c r="D43" s="122">
        <f t="shared" si="5"/>
        <v>350000</v>
      </c>
      <c r="E43" s="122">
        <f>VLOOKUP(A43,Agresso!$A$2:$G$117,7,FALSE)</f>
        <v>0</v>
      </c>
      <c r="F43" s="122">
        <f t="shared" si="2"/>
        <v>0</v>
      </c>
      <c r="H43" s="122">
        <v>0</v>
      </c>
      <c r="I43" s="122">
        <v>0</v>
      </c>
      <c r="J43" s="122">
        <v>0</v>
      </c>
      <c r="K43" s="122">
        <v>0</v>
      </c>
      <c r="L43" s="122">
        <v>0</v>
      </c>
      <c r="M43" s="122">
        <v>0</v>
      </c>
      <c r="N43" s="122">
        <v>0</v>
      </c>
      <c r="O43" s="122">
        <v>0</v>
      </c>
      <c r="P43" s="122">
        <v>0</v>
      </c>
      <c r="Q43" s="122">
        <v>0</v>
      </c>
      <c r="R43" s="122">
        <v>350000</v>
      </c>
    </row>
    <row r="44" spans="1:18" ht="15">
      <c r="A44" t="s">
        <v>335</v>
      </c>
      <c r="B44" t="s">
        <v>336</v>
      </c>
      <c r="C44" s="122">
        <f>VLOOKUP(A44,'Appendix B'!A:F,6,FALSE)</f>
        <v>5000</v>
      </c>
      <c r="D44" s="122">
        <f t="shared" si="5"/>
        <v>0</v>
      </c>
      <c r="E44" s="122">
        <f>VLOOKUP(A44,Agresso!$A$2:$G$117,7,FALSE)</f>
        <v>0</v>
      </c>
      <c r="F44" s="122">
        <f t="shared" si="2"/>
        <v>0</v>
      </c>
      <c r="H44" s="122">
        <v>0</v>
      </c>
      <c r="I44" s="122">
        <v>0</v>
      </c>
      <c r="J44" s="122">
        <v>0</v>
      </c>
      <c r="K44" s="122">
        <v>0</v>
      </c>
      <c r="L44" s="122">
        <v>0</v>
      </c>
      <c r="M44" s="122">
        <v>0</v>
      </c>
      <c r="N44" s="122">
        <v>0</v>
      </c>
      <c r="O44" s="122">
        <v>0</v>
      </c>
      <c r="P44" s="122">
        <v>0</v>
      </c>
      <c r="Q44" s="122">
        <v>0</v>
      </c>
      <c r="R44" s="122">
        <v>0</v>
      </c>
    </row>
    <row r="45" spans="1:18" ht="15">
      <c r="A45" t="s">
        <v>337</v>
      </c>
      <c r="B45" t="s">
        <v>338</v>
      </c>
      <c r="C45" s="122">
        <f>VLOOKUP(A45,'Appendix B'!A:F,6,FALSE)</f>
        <v>125000</v>
      </c>
      <c r="D45" s="122">
        <f t="shared" si="5"/>
        <v>125000</v>
      </c>
      <c r="E45" s="122">
        <f>VLOOKUP(A45,Agresso!$A$2:$G$117,7,FALSE)</f>
        <v>16625.3</v>
      </c>
      <c r="F45" s="122">
        <f t="shared" si="2"/>
        <v>17000</v>
      </c>
      <c r="G45" s="122">
        <v>5000</v>
      </c>
      <c r="H45" s="122">
        <v>5000</v>
      </c>
      <c r="I45" s="122">
        <v>7000</v>
      </c>
      <c r="J45" s="122">
        <v>7000</v>
      </c>
      <c r="K45" s="122">
        <v>8000</v>
      </c>
      <c r="L45" s="122">
        <v>0</v>
      </c>
      <c r="M45" s="122">
        <v>0</v>
      </c>
      <c r="N45" s="122">
        <v>0</v>
      </c>
      <c r="O45" s="122">
        <v>0</v>
      </c>
      <c r="P45" s="122">
        <v>0</v>
      </c>
      <c r="Q45" s="122">
        <v>0</v>
      </c>
      <c r="R45" s="122">
        <f>125000-32000</f>
        <v>93000</v>
      </c>
    </row>
    <row r="46" spans="1:18" ht="15">
      <c r="A46" t="s">
        <v>339</v>
      </c>
      <c r="B46" t="s">
        <v>340</v>
      </c>
      <c r="C46" s="122">
        <f>VLOOKUP(A46,'Appendix B'!A:F,6,FALSE)</f>
        <v>550000</v>
      </c>
      <c r="D46" s="122">
        <f t="shared" si="5"/>
        <v>47000</v>
      </c>
      <c r="E46" s="122">
        <f>VLOOKUP(A46,Agresso!$A$2:$G$117,7,FALSE)</f>
        <v>0</v>
      </c>
      <c r="F46" s="122">
        <f t="shared" si="2"/>
        <v>0</v>
      </c>
      <c r="H46" s="122">
        <v>0</v>
      </c>
      <c r="I46" s="122">
        <v>0</v>
      </c>
      <c r="J46" s="122">
        <v>0</v>
      </c>
      <c r="K46" s="122">
        <v>0</v>
      </c>
      <c r="L46" s="122">
        <v>43750</v>
      </c>
      <c r="M46" s="122">
        <v>3250</v>
      </c>
      <c r="N46" s="122">
        <v>0</v>
      </c>
      <c r="O46" s="122">
        <v>0</v>
      </c>
      <c r="P46" s="122">
        <v>0</v>
      </c>
      <c r="Q46" s="122">
        <v>0</v>
      </c>
      <c r="R46" s="122">
        <v>0</v>
      </c>
    </row>
    <row r="47" spans="1:18" ht="15">
      <c r="A47" t="s">
        <v>341</v>
      </c>
      <c r="B47" t="s">
        <v>342</v>
      </c>
      <c r="C47" s="122">
        <f>VLOOKUP(A47,'Appendix B'!A:F,6,FALSE)</f>
        <v>200000</v>
      </c>
      <c r="D47" s="122">
        <f t="shared" si="5"/>
        <v>200000</v>
      </c>
      <c r="E47" s="122">
        <f>VLOOKUP(A47,Agresso!$A$2:$G$117,7,FALSE)</f>
        <v>3275.13</v>
      </c>
      <c r="F47" s="122">
        <f t="shared" si="2"/>
        <v>4000</v>
      </c>
      <c r="H47" s="122">
        <v>0</v>
      </c>
      <c r="I47" s="122">
        <v>4000</v>
      </c>
      <c r="J47" s="122">
        <v>111000</v>
      </c>
      <c r="K47" s="122">
        <v>54000</v>
      </c>
      <c r="L47" s="122">
        <v>20000</v>
      </c>
      <c r="M47" s="220">
        <f>221000-210000</f>
        <v>11000</v>
      </c>
      <c r="N47" s="122">
        <v>0</v>
      </c>
      <c r="O47" s="122">
        <v>0</v>
      </c>
      <c r="P47" s="122">
        <v>0</v>
      </c>
      <c r="Q47" s="122">
        <v>0</v>
      </c>
      <c r="R47" s="122">
        <v>0</v>
      </c>
    </row>
    <row r="48" spans="1:18" ht="15">
      <c r="A48" t="s">
        <v>343</v>
      </c>
      <c r="B48" t="s">
        <v>344</v>
      </c>
      <c r="C48" s="122">
        <f>VLOOKUP(A48,'Appendix B'!A:F,6,FALSE)</f>
        <v>150000</v>
      </c>
      <c r="D48" s="122">
        <f t="shared" si="5"/>
        <v>0</v>
      </c>
      <c r="E48" s="122">
        <f>VLOOKUP(A48,Agresso!$A$2:$G$117,7,FALSE)</f>
        <v>0</v>
      </c>
      <c r="F48" s="122">
        <f t="shared" si="2"/>
        <v>0</v>
      </c>
      <c r="H48" s="122">
        <v>0</v>
      </c>
      <c r="I48" s="122">
        <v>0</v>
      </c>
      <c r="J48" s="122">
        <v>0</v>
      </c>
      <c r="K48" s="122">
        <v>0</v>
      </c>
      <c r="L48" s="122">
        <v>0</v>
      </c>
      <c r="M48" s="122">
        <v>0</v>
      </c>
      <c r="N48" s="122">
        <v>0</v>
      </c>
      <c r="O48" s="122">
        <v>0</v>
      </c>
      <c r="P48" s="122">
        <v>0</v>
      </c>
      <c r="Q48" s="122">
        <v>0</v>
      </c>
      <c r="R48" s="122">
        <v>0</v>
      </c>
    </row>
    <row r="49" spans="1:18" ht="15">
      <c r="A49" t="s">
        <v>345</v>
      </c>
      <c r="B49" t="s">
        <v>346</v>
      </c>
      <c r="C49" s="122">
        <f>VLOOKUP(A49,'Appendix B'!A:F,6,FALSE)</f>
        <v>3000</v>
      </c>
      <c r="D49" s="122">
        <f t="shared" si="5"/>
        <v>2500</v>
      </c>
      <c r="E49" s="122">
        <f>VLOOKUP(A49,Agresso!$A$2:$G$117,7,FALSE)</f>
        <v>0</v>
      </c>
      <c r="F49" s="122">
        <f t="shared" si="2"/>
        <v>0</v>
      </c>
      <c r="H49" s="122">
        <v>0</v>
      </c>
      <c r="I49" s="122">
        <v>0</v>
      </c>
      <c r="J49" s="122">
        <v>0</v>
      </c>
      <c r="K49" s="122">
        <v>0</v>
      </c>
      <c r="L49" s="122">
        <v>0</v>
      </c>
      <c r="M49" s="122">
        <v>2500</v>
      </c>
      <c r="N49" s="122">
        <v>0</v>
      </c>
      <c r="O49" s="122">
        <v>0</v>
      </c>
      <c r="P49" s="122">
        <v>0</v>
      </c>
      <c r="Q49" s="122">
        <v>0</v>
      </c>
      <c r="R49" s="122">
        <v>0</v>
      </c>
    </row>
    <row r="50" spans="1:18" ht="15">
      <c r="A50" t="s">
        <v>347</v>
      </c>
      <c r="B50" t="s">
        <v>348</v>
      </c>
      <c r="C50" s="122">
        <f>VLOOKUP(A50,'Appendix B'!A:F,6,FALSE)</f>
        <v>8110</v>
      </c>
      <c r="D50" s="122">
        <f t="shared" si="5"/>
        <v>6850</v>
      </c>
      <c r="E50" s="122">
        <f>VLOOKUP(A50,Agresso!$A$2:$G$117,7,FALSE)</f>
        <v>0</v>
      </c>
      <c r="F50" s="122">
        <f t="shared" si="2"/>
        <v>0</v>
      </c>
      <c r="H50" s="122">
        <v>0</v>
      </c>
      <c r="I50" s="122">
        <v>0</v>
      </c>
      <c r="J50" s="122">
        <v>0</v>
      </c>
      <c r="K50" s="122">
        <v>0</v>
      </c>
      <c r="L50" s="122">
        <v>0</v>
      </c>
      <c r="M50" s="122">
        <v>0</v>
      </c>
      <c r="N50" s="122">
        <v>0</v>
      </c>
      <c r="O50" s="122">
        <v>6000</v>
      </c>
      <c r="P50" s="122">
        <v>850</v>
      </c>
      <c r="Q50" s="122">
        <v>0</v>
      </c>
      <c r="R50" s="122">
        <v>0</v>
      </c>
    </row>
    <row r="51" spans="1:18" ht="15">
      <c r="A51" t="s">
        <v>349</v>
      </c>
      <c r="B51" t="s">
        <v>350</v>
      </c>
      <c r="C51" s="122">
        <f>VLOOKUP(A51,'Appendix B'!A:F,6,FALSE)</f>
        <v>150000</v>
      </c>
      <c r="D51" s="122">
        <f t="shared" si="5"/>
        <v>150000</v>
      </c>
      <c r="E51" s="122">
        <f>VLOOKUP(A51,Agresso!$A$2:$G$117,7,FALSE)</f>
        <v>0</v>
      </c>
      <c r="F51" s="122">
        <f t="shared" si="2"/>
        <v>0</v>
      </c>
      <c r="H51" s="122">
        <v>0</v>
      </c>
      <c r="I51" s="122">
        <v>0</v>
      </c>
      <c r="J51" s="122">
        <v>0</v>
      </c>
      <c r="K51" s="122">
        <v>0</v>
      </c>
      <c r="L51" s="122">
        <v>0</v>
      </c>
      <c r="M51" s="122">
        <v>7500</v>
      </c>
      <c r="N51" s="122">
        <v>0</v>
      </c>
      <c r="O51" s="122">
        <v>135000</v>
      </c>
      <c r="P51" s="122">
        <v>7500</v>
      </c>
      <c r="Q51" s="122">
        <v>0</v>
      </c>
      <c r="R51" s="122">
        <v>0</v>
      </c>
    </row>
    <row r="52" spans="1:19" s="173" customFormat="1" ht="15">
      <c r="A52" s="173" t="s">
        <v>203</v>
      </c>
      <c r="B52" s="173" t="s">
        <v>351</v>
      </c>
      <c r="C52" s="190">
        <f>VLOOKUP(A52,'Appendix B'!A:F,6,FALSE)</f>
        <v>200000</v>
      </c>
      <c r="D52" s="190">
        <f t="shared" si="5"/>
        <v>200020</v>
      </c>
      <c r="E52" s="190">
        <f>VLOOKUP(A52,Agresso!$A$2:$G$117,7,FALSE)</f>
        <v>43153.51</v>
      </c>
      <c r="F52" s="190">
        <f t="shared" si="2"/>
        <v>50000</v>
      </c>
      <c r="G52" s="190">
        <v>16660</v>
      </c>
      <c r="H52" s="190">
        <v>16680</v>
      </c>
      <c r="I52" s="190">
        <v>16660</v>
      </c>
      <c r="J52" s="190">
        <v>16660</v>
      </c>
      <c r="K52" s="190">
        <v>16680</v>
      </c>
      <c r="L52" s="190">
        <v>16660</v>
      </c>
      <c r="M52" s="190">
        <v>16660</v>
      </c>
      <c r="N52" s="190">
        <v>16680</v>
      </c>
      <c r="O52" s="190">
        <v>16660</v>
      </c>
      <c r="P52" s="190">
        <v>16660</v>
      </c>
      <c r="Q52" s="190">
        <v>16680</v>
      </c>
      <c r="R52" s="190">
        <v>16680</v>
      </c>
      <c r="S52"/>
    </row>
    <row r="53" spans="1:6" ht="15">
      <c r="A53" t="s">
        <v>145</v>
      </c>
      <c r="B53" t="s">
        <v>352</v>
      </c>
      <c r="C53" s="122">
        <f>VLOOKUP(A53,'Appendix B'!A:F,6,FALSE)</f>
        <v>11288</v>
      </c>
      <c r="D53" s="122">
        <f t="shared" si="5"/>
        <v>0</v>
      </c>
      <c r="E53" s="122">
        <f>VLOOKUP(A53,Agresso!$A$2:$G$117,7,FALSE)</f>
        <v>0</v>
      </c>
      <c r="F53" s="122">
        <f t="shared" si="2"/>
        <v>0</v>
      </c>
    </row>
    <row r="54" spans="1:6" ht="15">
      <c r="A54" t="s">
        <v>147</v>
      </c>
      <c r="B54" t="s">
        <v>353</v>
      </c>
      <c r="C54" s="122">
        <f>VLOOKUP(A54,'Appendix B'!A:F,6,FALSE)</f>
        <v>115670</v>
      </c>
      <c r="D54" s="122">
        <f t="shared" si="5"/>
        <v>0</v>
      </c>
      <c r="E54" s="122">
        <f>VLOOKUP(A54,Agresso!$A$2:$G$117,7,FALSE)</f>
        <v>0</v>
      </c>
      <c r="F54" s="122">
        <f t="shared" si="2"/>
        <v>0</v>
      </c>
    </row>
    <row r="55" spans="1:8" ht="15">
      <c r="A55" t="s">
        <v>207</v>
      </c>
      <c r="B55" t="s">
        <v>354</v>
      </c>
      <c r="C55" s="122">
        <f>VLOOKUP(A55,'Appendix B'!A:F,6,FALSE)</f>
        <v>188574</v>
      </c>
      <c r="D55" s="122">
        <f t="shared" si="5"/>
        <v>0</v>
      </c>
      <c r="E55" s="122">
        <f>VLOOKUP(A55,Agresso!$A$2:$G$117,7,FALSE)</f>
        <v>176052.5</v>
      </c>
      <c r="F55" s="122">
        <f t="shared" si="2"/>
        <v>0</v>
      </c>
      <c r="H55" s="122">
        <v>0</v>
      </c>
    </row>
    <row r="56" spans="1:6" ht="15">
      <c r="A56" t="s">
        <v>355</v>
      </c>
      <c r="B56" t="s">
        <v>356</v>
      </c>
      <c r="C56" s="122">
        <f>VLOOKUP(A56,'Appendix B'!A:F,6,FALSE)</f>
        <v>98000</v>
      </c>
      <c r="D56" s="122">
        <f t="shared" si="5"/>
        <v>0</v>
      </c>
      <c r="E56" s="122">
        <f>VLOOKUP(A56,Agresso!$A$2:$G$117,7,FALSE)</f>
        <v>0</v>
      </c>
      <c r="F56" s="122">
        <f t="shared" si="2"/>
        <v>0</v>
      </c>
    </row>
    <row r="57" spans="1:6" ht="15">
      <c r="A57" t="s">
        <v>357</v>
      </c>
      <c r="B57" t="s">
        <v>358</v>
      </c>
      <c r="C57" s="122">
        <f>VLOOKUP(A57,'Appendix B'!A:F,6,FALSE)</f>
        <v>25000</v>
      </c>
      <c r="D57" s="122">
        <f t="shared" si="5"/>
        <v>0</v>
      </c>
      <c r="E57" s="122">
        <f>VLOOKUP(A57,Agresso!$A$2:$G$117,7,FALSE)</f>
        <v>0</v>
      </c>
      <c r="F57" s="122">
        <f t="shared" si="2"/>
        <v>0</v>
      </c>
    </row>
    <row r="58" spans="1:6" ht="15">
      <c r="A58" t="s">
        <v>359</v>
      </c>
      <c r="B58" t="s">
        <v>360</v>
      </c>
      <c r="C58" s="122">
        <f>VLOOKUP(A58,'Appendix B'!A:F,6,FALSE)</f>
        <v>25000</v>
      </c>
      <c r="D58" s="122">
        <f t="shared" si="5"/>
        <v>0</v>
      </c>
      <c r="E58" s="122">
        <f>VLOOKUP(A58,Agresso!$A$2:$G$117,7,FALSE)</f>
        <v>0</v>
      </c>
      <c r="F58" s="122">
        <f t="shared" si="2"/>
        <v>0</v>
      </c>
    </row>
    <row r="59" spans="1:6" ht="15">
      <c r="A59" t="s">
        <v>361</v>
      </c>
      <c r="B59" t="s">
        <v>362</v>
      </c>
      <c r="C59" s="122">
        <f>VLOOKUP(A59,'Appendix B'!A:F,6,FALSE)</f>
        <v>25000</v>
      </c>
      <c r="D59" s="122">
        <f t="shared" si="5"/>
        <v>0</v>
      </c>
      <c r="E59" s="122">
        <f>VLOOKUP(A59,Agresso!$A$2:$G$117,7,FALSE)</f>
        <v>0</v>
      </c>
      <c r="F59" s="122">
        <f t="shared" si="2"/>
        <v>0</v>
      </c>
    </row>
    <row r="60" spans="1:6" ht="15">
      <c r="A60" t="s">
        <v>363</v>
      </c>
      <c r="B60" t="s">
        <v>364</v>
      </c>
      <c r="C60" s="122">
        <f>VLOOKUP(A60,'Appendix B'!A:F,6,FALSE)</f>
        <v>15000</v>
      </c>
      <c r="D60" s="122">
        <f t="shared" si="5"/>
        <v>0</v>
      </c>
      <c r="E60" s="122">
        <f>VLOOKUP(A60,Agresso!$A$2:$G$117,7,FALSE)</f>
        <v>0</v>
      </c>
      <c r="F60" s="122">
        <f t="shared" si="2"/>
        <v>0</v>
      </c>
    </row>
    <row r="61" spans="1:6" ht="15">
      <c r="A61" t="s">
        <v>365</v>
      </c>
      <c r="B61" t="s">
        <v>366</v>
      </c>
      <c r="C61" s="122">
        <f>VLOOKUP(A61,'Appendix B'!A:F,6,FALSE)</f>
        <v>15000</v>
      </c>
      <c r="D61" s="122">
        <f t="shared" si="5"/>
        <v>0</v>
      </c>
      <c r="E61" s="122">
        <f>VLOOKUP(A61,Agresso!$A$2:$G$117,7,FALSE)</f>
        <v>0</v>
      </c>
      <c r="F61" s="122">
        <f t="shared" si="2"/>
        <v>0</v>
      </c>
    </row>
    <row r="62" spans="1:19" s="173" customFormat="1" ht="15">
      <c r="A62" s="173" t="s">
        <v>21</v>
      </c>
      <c r="B62" s="173" t="s">
        <v>367</v>
      </c>
      <c r="C62" s="190">
        <f>VLOOKUP(A62,'Appendix B'!A:F,6,FALSE)</f>
        <v>47020</v>
      </c>
      <c r="D62" s="190">
        <f t="shared" si="5"/>
        <v>47020</v>
      </c>
      <c r="E62" s="190">
        <f>VLOOKUP(A62,Agresso!$A$2:$G$117,7,FALSE)</f>
        <v>-11897.02</v>
      </c>
      <c r="F62" s="190">
        <f t="shared" si="2"/>
        <v>10435</v>
      </c>
      <c r="G62" s="190">
        <v>2690</v>
      </c>
      <c r="H62" s="190">
        <v>3660</v>
      </c>
      <c r="I62" s="190">
        <v>4085</v>
      </c>
      <c r="J62" s="190">
        <v>2695</v>
      </c>
      <c r="K62" s="190">
        <v>2880</v>
      </c>
      <c r="L62" s="190">
        <v>3415</v>
      </c>
      <c r="M62" s="190">
        <v>3935</v>
      </c>
      <c r="N62" s="190">
        <v>4630</v>
      </c>
      <c r="O62" s="190">
        <v>3675</v>
      </c>
      <c r="P62" s="190">
        <v>5460</v>
      </c>
      <c r="Q62" s="190">
        <v>5620</v>
      </c>
      <c r="R62" s="190">
        <v>4275</v>
      </c>
      <c r="S62"/>
    </row>
    <row r="63" spans="1:19" s="173" customFormat="1" ht="15">
      <c r="A63" s="173" t="s">
        <v>23</v>
      </c>
      <c r="B63" s="173" t="s">
        <v>368</v>
      </c>
      <c r="C63" s="190">
        <f>VLOOKUP(A63,'Appendix B'!A:F,6,FALSE)</f>
        <v>816590</v>
      </c>
      <c r="D63" s="190">
        <f t="shared" si="5"/>
        <v>816590</v>
      </c>
      <c r="E63" s="190">
        <f>VLOOKUP(A63,Agresso!$A$2:$G$117,7,FALSE)</f>
        <v>78600.94</v>
      </c>
      <c r="F63" s="190">
        <f t="shared" si="2"/>
        <v>225308</v>
      </c>
      <c r="G63" s="190">
        <v>95192</v>
      </c>
      <c r="H63" s="190">
        <v>61488</v>
      </c>
      <c r="I63" s="190">
        <v>68628</v>
      </c>
      <c r="J63" s="190">
        <v>45276</v>
      </c>
      <c r="K63" s="190">
        <v>48384</v>
      </c>
      <c r="L63" s="190">
        <v>57372</v>
      </c>
      <c r="M63" s="190">
        <v>66108</v>
      </c>
      <c r="N63" s="190">
        <v>77784</v>
      </c>
      <c r="O63" s="190">
        <v>61740</v>
      </c>
      <c r="P63" s="190">
        <v>91728</v>
      </c>
      <c r="Q63" s="190">
        <v>94416</v>
      </c>
      <c r="R63" s="190">
        <v>48474</v>
      </c>
      <c r="S63"/>
    </row>
    <row r="64" spans="1:6" ht="15">
      <c r="A64" t="s">
        <v>25</v>
      </c>
      <c r="B64" t="s">
        <v>369</v>
      </c>
      <c r="C64" s="122">
        <f>VLOOKUP(A64,'Appendix B'!A:F,6,FALSE)</f>
        <v>0</v>
      </c>
      <c r="D64" s="122">
        <f t="shared" si="5"/>
        <v>0</v>
      </c>
      <c r="E64" s="122">
        <f>VLOOKUP(A64,Agresso!$A$2:$G$117,7,FALSE)</f>
        <v>0</v>
      </c>
      <c r="F64" s="122">
        <f t="shared" si="2"/>
        <v>0</v>
      </c>
    </row>
    <row r="65" spans="1:19" s="173" customFormat="1" ht="15">
      <c r="A65" s="173" t="s">
        <v>179</v>
      </c>
      <c r="B65" s="173" t="s">
        <v>370</v>
      </c>
      <c r="C65" s="190">
        <f>VLOOKUP(A65,'Appendix B'!A:F,6,FALSE)</f>
        <v>84000</v>
      </c>
      <c r="D65" s="190">
        <f t="shared" si="5"/>
        <v>84000</v>
      </c>
      <c r="E65" s="190">
        <f>VLOOKUP(A65,Agresso!$A$2:$G$117,7,FALSE)</f>
        <v>0</v>
      </c>
      <c r="F65" s="190">
        <f t="shared" si="2"/>
        <v>8400</v>
      </c>
      <c r="G65" s="190"/>
      <c r="H65" s="190"/>
      <c r="I65" s="190">
        <v>8400</v>
      </c>
      <c r="J65" s="190">
        <v>8400</v>
      </c>
      <c r="K65" s="190">
        <v>8400</v>
      </c>
      <c r="L65" s="190">
        <v>8400</v>
      </c>
      <c r="M65" s="190">
        <v>8400</v>
      </c>
      <c r="N65" s="190">
        <v>8400</v>
      </c>
      <c r="O65" s="190">
        <v>8400</v>
      </c>
      <c r="P65" s="190">
        <v>8400</v>
      </c>
      <c r="Q65" s="190">
        <v>8400</v>
      </c>
      <c r="R65" s="190">
        <v>8400</v>
      </c>
      <c r="S65"/>
    </row>
    <row r="66" spans="1:19" s="173" customFormat="1" ht="15">
      <c r="A66" s="173" t="s">
        <v>181</v>
      </c>
      <c r="B66" s="173" t="s">
        <v>371</v>
      </c>
      <c r="C66" s="190">
        <f>VLOOKUP(A66,'Appendix B'!A:F,6,FALSE)</f>
        <v>164309</v>
      </c>
      <c r="D66" s="190">
        <f t="shared" si="5"/>
        <v>164309</v>
      </c>
      <c r="E66" s="190">
        <f>VLOOKUP(A66,Agresso!$A$2:$G$117,7,FALSE)</f>
        <v>0</v>
      </c>
      <c r="F66" s="190">
        <f t="shared" si="2"/>
        <v>0</v>
      </c>
      <c r="G66" s="190"/>
      <c r="H66" s="190"/>
      <c r="I66" s="190"/>
      <c r="J66" s="190"/>
      <c r="K66" s="190"/>
      <c r="L66" s="190"/>
      <c r="M66" s="190"/>
      <c r="N66" s="190"/>
      <c r="O66" s="190"/>
      <c r="P66" s="190">
        <v>60487.45</v>
      </c>
      <c r="Q66" s="190">
        <v>80649.94</v>
      </c>
      <c r="R66" s="190">
        <v>23171.61</v>
      </c>
      <c r="S66"/>
    </row>
    <row r="67" spans="1:19" s="173" customFormat="1" ht="15">
      <c r="A67" s="173" t="s">
        <v>183</v>
      </c>
      <c r="B67" s="173" t="s">
        <v>372</v>
      </c>
      <c r="C67" s="190">
        <f>VLOOKUP(A67,'Appendix B'!A:F,6,FALSE)</f>
        <v>1857</v>
      </c>
      <c r="D67" s="190">
        <f t="shared" si="5"/>
        <v>1857</v>
      </c>
      <c r="E67" s="190">
        <f>VLOOKUP(A67,Agresso!$A$2:$G$117,7,FALSE)</f>
        <v>0</v>
      </c>
      <c r="F67" s="190">
        <f t="shared" si="2"/>
        <v>0</v>
      </c>
      <c r="G67" s="190"/>
      <c r="H67" s="190"/>
      <c r="I67" s="190"/>
      <c r="J67" s="190"/>
      <c r="K67" s="190"/>
      <c r="L67" s="190"/>
      <c r="M67" s="190"/>
      <c r="N67" s="190"/>
      <c r="O67" s="190"/>
      <c r="P67" s="190"/>
      <c r="Q67" s="190"/>
      <c r="R67" s="190">
        <v>1857</v>
      </c>
      <c r="S67"/>
    </row>
    <row r="68" spans="1:18" ht="15">
      <c r="A68" t="s">
        <v>176</v>
      </c>
      <c r="B68" t="s">
        <v>373</v>
      </c>
      <c r="C68" s="122">
        <f>VLOOKUP(A68,'Appendix B'!A:F,6,FALSE)</f>
        <v>194503</v>
      </c>
      <c r="D68" s="122">
        <f t="shared" si="5"/>
        <v>194503</v>
      </c>
      <c r="E68" s="122">
        <f>VLOOKUP(A68,Agresso!$A$2:$G$117,7,FALSE)</f>
        <v>7182</v>
      </c>
      <c r="F68" s="122">
        <f aca="true" t="shared" si="6" ref="F68:F113">G68+H68+I68</f>
        <v>8000</v>
      </c>
      <c r="H68" s="122">
        <v>0</v>
      </c>
      <c r="I68" s="122">
        <v>8000</v>
      </c>
      <c r="M68" s="222">
        <f>$C$68/6-8000</f>
        <v>24417.166666666668</v>
      </c>
      <c r="N68" s="122">
        <f>$C$68/6</f>
        <v>32417.166666666668</v>
      </c>
      <c r="O68" s="122">
        <f>$C$68/6</f>
        <v>32417.166666666668</v>
      </c>
      <c r="P68" s="122">
        <f>$C$68/6</f>
        <v>32417.166666666668</v>
      </c>
      <c r="Q68" s="122">
        <f>$C$68/6</f>
        <v>32417.166666666668</v>
      </c>
      <c r="R68" s="122">
        <f>$C$68/6</f>
        <v>32417.166666666668</v>
      </c>
    </row>
    <row r="69" spans="1:18" ht="15">
      <c r="A69" t="s">
        <v>6</v>
      </c>
      <c r="B69" t="s">
        <v>374</v>
      </c>
      <c r="C69" s="122">
        <f>VLOOKUP(A69,'Appendix B'!A:F,6,FALSE)</f>
        <v>238016</v>
      </c>
      <c r="D69" s="122">
        <f aca="true" t="shared" si="7" ref="D69:D100">SUM(G69:R69)</f>
        <v>248016.00000000003</v>
      </c>
      <c r="E69" s="122">
        <f>VLOOKUP(A69,Agresso!$A$2:$G$117,7,FALSE)</f>
        <v>10190</v>
      </c>
      <c r="F69" s="122">
        <f t="shared" si="6"/>
        <v>10000</v>
      </c>
      <c r="H69" s="122">
        <v>10000</v>
      </c>
      <c r="M69" s="122">
        <f aca="true" t="shared" si="8" ref="M69:R69">238016/6</f>
        <v>39669.333333333336</v>
      </c>
      <c r="N69" s="122">
        <f t="shared" si="8"/>
        <v>39669.333333333336</v>
      </c>
      <c r="O69" s="122">
        <f t="shared" si="8"/>
        <v>39669.333333333336</v>
      </c>
      <c r="P69" s="122">
        <f t="shared" si="8"/>
        <v>39669.333333333336</v>
      </c>
      <c r="Q69" s="122">
        <f t="shared" si="8"/>
        <v>39669.333333333336</v>
      </c>
      <c r="R69" s="122">
        <f t="shared" si="8"/>
        <v>39669.333333333336</v>
      </c>
    </row>
    <row r="70" spans="1:12" ht="15">
      <c r="A70" t="s">
        <v>8</v>
      </c>
      <c r="B70" t="s">
        <v>696</v>
      </c>
      <c r="C70" s="122">
        <f>VLOOKUP(A70,'Appendix B'!A:F,6,FALSE)</f>
        <v>1537</v>
      </c>
      <c r="D70" s="122">
        <f t="shared" si="7"/>
        <v>1537</v>
      </c>
      <c r="E70" s="122">
        <f>VLOOKUP(A70,Agresso!$A$2:$G$117,7,FALSE)</f>
        <v>0</v>
      </c>
      <c r="F70" s="122">
        <f t="shared" si="6"/>
        <v>0</v>
      </c>
      <c r="L70" s="122">
        <f>C70</f>
        <v>1537</v>
      </c>
    </row>
    <row r="71" spans="1:12" ht="15">
      <c r="A71" t="s">
        <v>375</v>
      </c>
      <c r="B71" t="s">
        <v>376</v>
      </c>
      <c r="C71" s="122">
        <f>VLOOKUP(A71,'Appendix B'!A:F,6,FALSE)</f>
        <v>1560</v>
      </c>
      <c r="D71" s="122">
        <f t="shared" si="7"/>
        <v>1560</v>
      </c>
      <c r="E71" s="122">
        <f>VLOOKUP(A71,Agresso!$A$2:$G$117,7,FALSE)</f>
        <v>0</v>
      </c>
      <c r="F71" s="122">
        <f t="shared" si="6"/>
        <v>0</v>
      </c>
      <c r="L71" s="122">
        <f>C71</f>
        <v>1560</v>
      </c>
    </row>
    <row r="72" spans="1:12" ht="15">
      <c r="A72" t="s">
        <v>377</v>
      </c>
      <c r="B72" t="s">
        <v>378</v>
      </c>
      <c r="C72" s="122">
        <f>VLOOKUP(A72,'Appendix B'!A:F,6,FALSE)</f>
        <v>19887</v>
      </c>
      <c r="D72" s="122">
        <f>SUM(G72:R72)</f>
        <v>19887</v>
      </c>
      <c r="E72" s="122">
        <f>VLOOKUP(A72,Agresso!$A$2:$G$117,7,FALSE)</f>
        <v>0</v>
      </c>
      <c r="F72" s="122">
        <f t="shared" si="6"/>
        <v>0</v>
      </c>
      <c r="L72" s="122">
        <f>C72</f>
        <v>19887</v>
      </c>
    </row>
    <row r="73" spans="1:12" ht="15">
      <c r="A73" t="s">
        <v>12</v>
      </c>
      <c r="B73" t="s">
        <v>697</v>
      </c>
      <c r="C73" s="122">
        <f>VLOOKUP(A73,'Appendix B'!A:F,6,FALSE)</f>
        <v>14460</v>
      </c>
      <c r="D73" s="122">
        <f t="shared" si="7"/>
        <v>14460</v>
      </c>
      <c r="E73" s="122">
        <f>VLOOKUP(A73,Agresso!$A$2:$G$117,7,FALSE)</f>
        <v>0</v>
      </c>
      <c r="F73" s="122">
        <f t="shared" si="6"/>
        <v>0</v>
      </c>
      <c r="L73" s="122">
        <f>C73</f>
        <v>14460</v>
      </c>
    </row>
    <row r="74" spans="1:14" ht="15">
      <c r="A74" t="s">
        <v>379</v>
      </c>
      <c r="B74" t="s">
        <v>380</v>
      </c>
      <c r="C74" s="122">
        <f>VLOOKUP(A74,'Appendix B'!A:F,6,FALSE)</f>
        <v>60000</v>
      </c>
      <c r="D74" s="122">
        <f t="shared" si="7"/>
        <v>60000</v>
      </c>
      <c r="E74" s="122">
        <f>VLOOKUP(A74,Agresso!$A$2:$G$117,7,FALSE)</f>
        <v>0</v>
      </c>
      <c r="F74" s="122">
        <f t="shared" si="6"/>
        <v>0</v>
      </c>
      <c r="L74" s="122">
        <v>20000</v>
      </c>
      <c r="M74" s="122">
        <v>20000</v>
      </c>
      <c r="N74" s="122">
        <v>20000</v>
      </c>
    </row>
    <row r="75" spans="1:13" ht="15">
      <c r="A75" t="s">
        <v>381</v>
      </c>
      <c r="B75" t="s">
        <v>382</v>
      </c>
      <c r="C75" s="122">
        <f>VLOOKUP(A75,'Appendix B'!A:F,6,FALSE)</f>
        <v>50000</v>
      </c>
      <c r="D75" s="122">
        <f t="shared" si="7"/>
        <v>50000</v>
      </c>
      <c r="E75" s="122">
        <f>VLOOKUP(A75,Agresso!$A$2:$G$117,7,FALSE)</f>
        <v>0</v>
      </c>
      <c r="F75" s="122">
        <f t="shared" si="6"/>
        <v>0</v>
      </c>
      <c r="L75" s="122">
        <v>25000</v>
      </c>
      <c r="M75" s="122">
        <v>25000</v>
      </c>
    </row>
    <row r="76" spans="1:14" ht="15">
      <c r="A76" t="s">
        <v>383</v>
      </c>
      <c r="B76" t="s">
        <v>384</v>
      </c>
      <c r="C76" s="122">
        <f>VLOOKUP(A76,'Appendix B'!A:F,6,FALSE)</f>
        <v>60000</v>
      </c>
      <c r="D76" s="122">
        <f t="shared" si="7"/>
        <v>60000</v>
      </c>
      <c r="E76" s="122">
        <f>VLOOKUP(A76,Agresso!$A$2:$G$117,7,FALSE)</f>
        <v>0</v>
      </c>
      <c r="F76" s="122">
        <f t="shared" si="6"/>
        <v>0</v>
      </c>
      <c r="L76" s="122">
        <v>20000</v>
      </c>
      <c r="M76" s="122">
        <v>20000</v>
      </c>
      <c r="N76" s="122">
        <v>20000</v>
      </c>
    </row>
    <row r="77" spans="1:12" ht="15">
      <c r="A77" t="s">
        <v>385</v>
      </c>
      <c r="B77" t="s">
        <v>386</v>
      </c>
      <c r="C77" s="122">
        <f>VLOOKUP(A77,'Appendix B'!A:F,6,FALSE)</f>
        <v>0</v>
      </c>
      <c r="D77" s="122">
        <f t="shared" si="7"/>
        <v>0</v>
      </c>
      <c r="E77" s="122">
        <f>VLOOKUP(A77,Agresso!$A$2:$G$117,7,FALSE)</f>
        <v>0</v>
      </c>
      <c r="F77" s="122">
        <f t="shared" si="6"/>
        <v>0</v>
      </c>
      <c r="L77" s="122">
        <f>C77</f>
        <v>0</v>
      </c>
    </row>
    <row r="78" spans="1:12" ht="15">
      <c r="A78" t="s">
        <v>387</v>
      </c>
      <c r="B78" t="s">
        <v>388</v>
      </c>
      <c r="C78" s="122">
        <f>VLOOKUP(A78,'Appendix B'!A:F,6,FALSE)</f>
        <v>14635</v>
      </c>
      <c r="D78" s="122">
        <f t="shared" si="7"/>
        <v>14635</v>
      </c>
      <c r="E78" s="122">
        <f>VLOOKUP(A78,Agresso!$A$2:$G$117,7,FALSE)</f>
        <v>0</v>
      </c>
      <c r="F78" s="122">
        <f t="shared" si="6"/>
        <v>0</v>
      </c>
      <c r="L78" s="122">
        <f>C78</f>
        <v>14635</v>
      </c>
    </row>
    <row r="79" spans="1:6" ht="15">
      <c r="A79" t="s">
        <v>29</v>
      </c>
      <c r="B79" t="s">
        <v>389</v>
      </c>
      <c r="C79" s="122">
        <f>VLOOKUP(A79,'Appendix B'!A:F,6,FALSE)</f>
        <v>19000</v>
      </c>
      <c r="D79" s="122">
        <f t="shared" si="7"/>
        <v>0</v>
      </c>
      <c r="E79" s="122">
        <f>VLOOKUP(A79,Agresso!$A$2:$G$117,7,FALSE)</f>
        <v>0</v>
      </c>
      <c r="F79" s="122">
        <f t="shared" si="6"/>
        <v>0</v>
      </c>
    </row>
    <row r="80" spans="1:6" ht="15">
      <c r="A80" t="s">
        <v>31</v>
      </c>
      <c r="B80" t="s">
        <v>390</v>
      </c>
      <c r="C80" s="122">
        <f>VLOOKUP(A80,'Appendix B'!A:F,6,FALSE)</f>
        <v>6324</v>
      </c>
      <c r="D80" s="122">
        <f t="shared" si="7"/>
        <v>0</v>
      </c>
      <c r="E80" s="122">
        <f>VLOOKUP(A80,Agresso!$A$2:$G$117,7,FALSE)</f>
        <v>0</v>
      </c>
      <c r="F80" s="122">
        <f t="shared" si="6"/>
        <v>0</v>
      </c>
    </row>
    <row r="81" spans="1:6" ht="15">
      <c r="A81" t="s">
        <v>33</v>
      </c>
      <c r="B81" t="s">
        <v>391</v>
      </c>
      <c r="C81" s="122">
        <f>VLOOKUP(A81,'Appendix B'!A:F,6,FALSE)</f>
        <v>2550</v>
      </c>
      <c r="D81" s="122">
        <f t="shared" si="7"/>
        <v>0</v>
      </c>
      <c r="E81" s="122">
        <f>VLOOKUP(A81,Agresso!$A$2:$G$117,7,FALSE)</f>
        <v>0</v>
      </c>
      <c r="F81" s="122">
        <f t="shared" si="6"/>
        <v>0</v>
      </c>
    </row>
    <row r="82" spans="1:6" ht="15">
      <c r="A82" t="s">
        <v>42</v>
      </c>
      <c r="B82" t="s">
        <v>698</v>
      </c>
      <c r="C82" s="122">
        <f>VLOOKUP(A82,'Appendix B'!A:F,6,FALSE)</f>
        <v>19300</v>
      </c>
      <c r="D82" s="122">
        <f t="shared" si="7"/>
        <v>0</v>
      </c>
      <c r="E82" s="122">
        <f>VLOOKUP(A82,Agresso!$A$2:$G$117,7,FALSE)</f>
        <v>0</v>
      </c>
      <c r="F82" s="122">
        <f t="shared" si="6"/>
        <v>0</v>
      </c>
    </row>
    <row r="83" spans="1:6" ht="15">
      <c r="A83" t="s">
        <v>35</v>
      </c>
      <c r="B83" t="s">
        <v>392</v>
      </c>
      <c r="C83" s="122">
        <f>VLOOKUP(A83,'Appendix B'!A:F,6,FALSE)</f>
        <v>1411</v>
      </c>
      <c r="D83" s="122">
        <f t="shared" si="7"/>
        <v>0</v>
      </c>
      <c r="E83" s="122">
        <f>VLOOKUP(A83,Agresso!$A$2:$G$117,7,FALSE)</f>
        <v>0</v>
      </c>
      <c r="F83" s="122">
        <f t="shared" si="6"/>
        <v>0</v>
      </c>
    </row>
    <row r="84" spans="1:6" ht="15">
      <c r="A84" t="s">
        <v>393</v>
      </c>
      <c r="B84" t="s">
        <v>394</v>
      </c>
      <c r="C84" s="122">
        <f>VLOOKUP(A84,'Appendix B'!A:F,6,FALSE)</f>
        <v>325000</v>
      </c>
      <c r="D84" s="122">
        <f t="shared" si="7"/>
        <v>0</v>
      </c>
      <c r="E84" s="122">
        <f>VLOOKUP(A84,Agresso!$A$2:$G$117,7,FALSE)</f>
        <v>0</v>
      </c>
      <c r="F84" s="122">
        <f t="shared" si="6"/>
        <v>0</v>
      </c>
    </row>
    <row r="85" spans="1:6" ht="15">
      <c r="A85" t="s">
        <v>395</v>
      </c>
      <c r="B85" t="s">
        <v>396</v>
      </c>
      <c r="C85" s="122">
        <f>VLOOKUP(A85,'Appendix B'!A:F,6,FALSE)</f>
        <v>25000</v>
      </c>
      <c r="D85" s="122">
        <f t="shared" si="7"/>
        <v>0</v>
      </c>
      <c r="E85" s="122">
        <f>VLOOKUP(A85,Agresso!$A$2:$G$117,7,FALSE)</f>
        <v>0</v>
      </c>
      <c r="F85" s="122">
        <f t="shared" si="6"/>
        <v>0</v>
      </c>
    </row>
    <row r="86" spans="1:6" ht="15">
      <c r="A86" t="s">
        <v>397</v>
      </c>
      <c r="B86" t="s">
        <v>398</v>
      </c>
      <c r="C86" s="122">
        <f>VLOOKUP(A86,'Appendix B'!A:F,6,FALSE)</f>
        <v>18000</v>
      </c>
      <c r="D86" s="122">
        <f t="shared" si="7"/>
        <v>0</v>
      </c>
      <c r="E86" s="122">
        <f>VLOOKUP(A86,Agresso!$A$2:$G$117,7,FALSE)</f>
        <v>0</v>
      </c>
      <c r="F86" s="122">
        <f t="shared" si="6"/>
        <v>0</v>
      </c>
    </row>
    <row r="87" spans="1:6" ht="15">
      <c r="A87" t="s">
        <v>16</v>
      </c>
      <c r="B87" t="s">
        <v>399</v>
      </c>
      <c r="C87" s="122">
        <f>VLOOKUP(A87,'Appendix B'!A:F,6,FALSE)</f>
        <v>217225</v>
      </c>
      <c r="D87" s="122">
        <f t="shared" si="7"/>
        <v>0</v>
      </c>
      <c r="E87" s="122">
        <f>VLOOKUP(A87,Agresso!$A$2:$G$117,7,FALSE)</f>
        <v>0</v>
      </c>
      <c r="F87" s="122">
        <f t="shared" si="6"/>
        <v>0</v>
      </c>
    </row>
    <row r="88" spans="1:9" ht="15">
      <c r="A88" t="s">
        <v>214</v>
      </c>
      <c r="B88" t="s">
        <v>401</v>
      </c>
      <c r="C88" s="122">
        <f>VLOOKUP(A88,'Appendix B'!A:F,6,FALSE)</f>
        <v>500000</v>
      </c>
      <c r="D88" s="122">
        <f t="shared" si="7"/>
        <v>0</v>
      </c>
      <c r="E88" s="122">
        <f>VLOOKUP(A88,Agresso!$A$2:$G$117,7,FALSE)</f>
        <v>2936.22</v>
      </c>
      <c r="F88" s="122">
        <f t="shared" si="6"/>
        <v>0</v>
      </c>
      <c r="H88" s="122">
        <v>0</v>
      </c>
      <c r="I88" s="122">
        <v>0</v>
      </c>
    </row>
    <row r="89" spans="1:19" s="173" customFormat="1" ht="15">
      <c r="A89" s="173" t="s">
        <v>256</v>
      </c>
      <c r="B89" s="173" t="s">
        <v>402</v>
      </c>
      <c r="C89" s="190">
        <f>VLOOKUP(A89,'Appendix B'!A:F,6,FALSE)</f>
        <v>900000</v>
      </c>
      <c r="D89" s="190">
        <f t="shared" si="7"/>
        <v>900000</v>
      </c>
      <c r="E89" s="190">
        <f>VLOOKUP(A89,Agresso!$A$2:$G$117,7,FALSE)</f>
        <v>149376.29</v>
      </c>
      <c r="F89" s="190">
        <f t="shared" si="6"/>
        <v>226080</v>
      </c>
      <c r="G89" s="190">
        <v>65790</v>
      </c>
      <c r="H89" s="190">
        <v>82170</v>
      </c>
      <c r="I89" s="190">
        <v>78120</v>
      </c>
      <c r="J89" s="190">
        <v>57510</v>
      </c>
      <c r="K89" s="190">
        <v>78120</v>
      </c>
      <c r="L89" s="190">
        <v>57510</v>
      </c>
      <c r="M89" s="190">
        <v>82170</v>
      </c>
      <c r="N89" s="190">
        <v>98640</v>
      </c>
      <c r="O89" s="190">
        <v>49320</v>
      </c>
      <c r="P89" s="190">
        <v>98640</v>
      </c>
      <c r="Q89" s="190">
        <v>73980</v>
      </c>
      <c r="R89" s="190">
        <v>78030</v>
      </c>
      <c r="S89"/>
    </row>
    <row r="90" spans="1:9" ht="15">
      <c r="A90" t="s">
        <v>232</v>
      </c>
      <c r="B90" t="s">
        <v>403</v>
      </c>
      <c r="C90" s="122">
        <f>VLOOKUP(A90,'Appendix B'!A:F,6,FALSE)</f>
        <v>125000</v>
      </c>
      <c r="D90" s="122">
        <f t="shared" si="7"/>
        <v>0</v>
      </c>
      <c r="E90" s="122">
        <f>VLOOKUP(A90,Agresso!$A$2:$G$117,7,FALSE)</f>
        <v>54205.94</v>
      </c>
      <c r="F90" s="122">
        <f t="shared" si="6"/>
        <v>0</v>
      </c>
      <c r="H90" s="122">
        <v>0</v>
      </c>
      <c r="I90" s="122">
        <v>0</v>
      </c>
    </row>
    <row r="91" spans="1:9" ht="15">
      <c r="A91" t="s">
        <v>216</v>
      </c>
      <c r="B91" t="s">
        <v>404</v>
      </c>
      <c r="C91" s="122">
        <f>VLOOKUP(A91,'Appendix B'!A:F,6,FALSE)</f>
        <v>210000</v>
      </c>
      <c r="D91" s="122">
        <f t="shared" si="7"/>
        <v>0</v>
      </c>
      <c r="E91" s="122">
        <f>VLOOKUP(A91,Agresso!$A$2:$G$117,7,FALSE)</f>
        <v>35572.39</v>
      </c>
      <c r="F91" s="122">
        <f t="shared" si="6"/>
        <v>0</v>
      </c>
      <c r="H91" s="122">
        <v>0</v>
      </c>
      <c r="I91" s="122">
        <v>0</v>
      </c>
    </row>
    <row r="92" spans="1:19" s="173" customFormat="1" ht="15">
      <c r="A92" s="173" t="s">
        <v>262</v>
      </c>
      <c r="B92" s="173" t="s">
        <v>405</v>
      </c>
      <c r="C92" s="190">
        <f>VLOOKUP(A92,'Appendix B'!A:F,6,FALSE)</f>
        <v>820000</v>
      </c>
      <c r="D92" s="190">
        <f t="shared" si="7"/>
        <v>820000</v>
      </c>
      <c r="E92" s="190">
        <f>VLOOKUP(A92,Agresso!$A$2:$G$117,7,FALSE)</f>
        <v>160999.07</v>
      </c>
      <c r="F92" s="190">
        <f t="shared" si="6"/>
        <v>205984</v>
      </c>
      <c r="G92" s="190">
        <v>59942</v>
      </c>
      <c r="H92" s="190">
        <v>74866</v>
      </c>
      <c r="I92" s="190">
        <v>71176</v>
      </c>
      <c r="J92" s="190">
        <v>52398</v>
      </c>
      <c r="K92" s="190">
        <v>71176</v>
      </c>
      <c r="L92" s="190">
        <v>52398</v>
      </c>
      <c r="M92" s="190">
        <v>74866</v>
      </c>
      <c r="N92" s="190">
        <v>89872</v>
      </c>
      <c r="O92" s="190">
        <v>44936</v>
      </c>
      <c r="P92" s="190">
        <v>89872</v>
      </c>
      <c r="Q92" s="190">
        <v>67404</v>
      </c>
      <c r="R92" s="190">
        <v>71094</v>
      </c>
      <c r="S92"/>
    </row>
    <row r="93" spans="1:9" ht="15">
      <c r="A93" t="s">
        <v>228</v>
      </c>
      <c r="B93" t="s">
        <v>406</v>
      </c>
      <c r="C93" s="122">
        <f>VLOOKUP(A93,'Appendix B'!A:F,6,FALSE)</f>
        <v>90000</v>
      </c>
      <c r="D93" s="122">
        <f t="shared" si="7"/>
        <v>0</v>
      </c>
      <c r="E93" s="122">
        <f>VLOOKUP(A93,Agresso!$A$2:$G$117,7,FALSE)</f>
        <v>56128.01</v>
      </c>
      <c r="F93" s="122">
        <f t="shared" si="6"/>
        <v>0</v>
      </c>
      <c r="H93" s="122">
        <v>0</v>
      </c>
      <c r="I93" s="122">
        <v>0</v>
      </c>
    </row>
    <row r="94" spans="1:19" s="173" customFormat="1" ht="15">
      <c r="A94" s="173" t="s">
        <v>258</v>
      </c>
      <c r="B94" s="173" t="s">
        <v>407</v>
      </c>
      <c r="C94" s="190">
        <f>VLOOKUP(A94,'Appendix B'!A:F,6,FALSE)</f>
        <v>2073000</v>
      </c>
      <c r="D94" s="190">
        <f t="shared" si="7"/>
        <v>2073000</v>
      </c>
      <c r="E94" s="190">
        <f>VLOOKUP(A94,Agresso!$A$2:$G$117,7,FALSE)</f>
        <v>556865.71</v>
      </c>
      <c r="F94" s="190">
        <f t="shared" si="6"/>
        <v>503117.1</v>
      </c>
      <c r="G94" s="190">
        <v>141585.9</v>
      </c>
      <c r="H94" s="190">
        <v>171644.4</v>
      </c>
      <c r="I94" s="190">
        <v>189886.8</v>
      </c>
      <c r="J94" s="190">
        <v>196313.1</v>
      </c>
      <c r="K94" s="190">
        <v>144280.8</v>
      </c>
      <c r="L94" s="190">
        <v>167083.8</v>
      </c>
      <c r="M94" s="190">
        <v>208129.2</v>
      </c>
      <c r="N94" s="190">
        <v>181802.1</v>
      </c>
      <c r="O94" s="190">
        <v>154438.5</v>
      </c>
      <c r="P94" s="190">
        <v>155267.7</v>
      </c>
      <c r="Q94" s="190">
        <v>200044.5</v>
      </c>
      <c r="R94" s="190">
        <v>162523.2</v>
      </c>
      <c r="S94"/>
    </row>
    <row r="95" spans="1:19" s="173" customFormat="1" ht="15">
      <c r="A95" s="173" t="s">
        <v>260</v>
      </c>
      <c r="B95" s="173" t="s">
        <v>408</v>
      </c>
      <c r="C95" s="190">
        <f>VLOOKUP(A95,'Appendix B'!A:F,6,FALSE)</f>
        <v>1221000</v>
      </c>
      <c r="D95" s="190">
        <f t="shared" si="7"/>
        <v>1221000</v>
      </c>
      <c r="E95" s="190">
        <f>VLOOKUP(A95,Agresso!$A$2:$G$117,7,FALSE)</f>
        <v>314453.54</v>
      </c>
      <c r="F95" s="190">
        <f t="shared" si="6"/>
        <v>282051</v>
      </c>
      <c r="G95" s="190">
        <v>77533.5</v>
      </c>
      <c r="H95" s="190">
        <v>89865.6</v>
      </c>
      <c r="I95" s="190">
        <v>114651.9</v>
      </c>
      <c r="J95" s="190">
        <v>116361.3</v>
      </c>
      <c r="K95" s="190">
        <v>127106.1</v>
      </c>
      <c r="L95" s="190">
        <v>127106.1</v>
      </c>
      <c r="M95" s="190">
        <v>90354</v>
      </c>
      <c r="N95" s="190">
        <v>86691</v>
      </c>
      <c r="O95" s="190">
        <v>65201.4</v>
      </c>
      <c r="P95" s="190">
        <v>72405.3</v>
      </c>
      <c r="Q95" s="190">
        <v>81196.5</v>
      </c>
      <c r="R95" s="190">
        <v>172527.3</v>
      </c>
      <c r="S95"/>
    </row>
    <row r="96" spans="1:9" ht="15">
      <c r="A96" t="s">
        <v>230</v>
      </c>
      <c r="B96" t="s">
        <v>409</v>
      </c>
      <c r="C96" s="122">
        <f>VLOOKUP(A96,'Appendix B'!A:F,6,FALSE)</f>
        <v>150000</v>
      </c>
      <c r="D96" s="122">
        <f t="shared" si="7"/>
        <v>0</v>
      </c>
      <c r="E96" s="122">
        <f>VLOOKUP(A96,Agresso!$A$2:$G$117,7,FALSE)</f>
        <v>50693.46</v>
      </c>
      <c r="F96" s="122">
        <f t="shared" si="6"/>
        <v>0</v>
      </c>
      <c r="H96" s="122">
        <v>0</v>
      </c>
      <c r="I96" s="122">
        <v>0</v>
      </c>
    </row>
    <row r="97" spans="1:9" ht="15">
      <c r="A97" t="s">
        <v>218</v>
      </c>
      <c r="B97" t="s">
        <v>410</v>
      </c>
      <c r="C97" s="122">
        <f>VLOOKUP(A97,'Appendix B'!A:F,6,FALSE)</f>
        <v>200000</v>
      </c>
      <c r="D97" s="122">
        <f t="shared" si="7"/>
        <v>0</v>
      </c>
      <c r="E97" s="122">
        <f>VLOOKUP(A97,Agresso!$A$2:$G$117,7,FALSE)</f>
        <v>6632.66</v>
      </c>
      <c r="F97" s="122">
        <f t="shared" si="6"/>
        <v>0</v>
      </c>
      <c r="H97" s="122">
        <v>0</v>
      </c>
      <c r="I97" s="122">
        <v>0</v>
      </c>
    </row>
    <row r="98" spans="1:9" ht="15">
      <c r="A98" t="s">
        <v>226</v>
      </c>
      <c r="B98" t="s">
        <v>411</v>
      </c>
      <c r="C98" s="122">
        <f>VLOOKUP(A98,'Appendix B'!A:F,6,FALSE)</f>
        <v>250000</v>
      </c>
      <c r="D98" s="122">
        <f t="shared" si="7"/>
        <v>0</v>
      </c>
      <c r="E98" s="122">
        <f>VLOOKUP(A98,Agresso!$A$2:$G$117,7,FALSE)</f>
        <v>3719.08</v>
      </c>
      <c r="F98" s="122">
        <f t="shared" si="6"/>
        <v>0</v>
      </c>
      <c r="H98" s="122">
        <v>0</v>
      </c>
      <c r="I98" s="122">
        <v>0</v>
      </c>
    </row>
    <row r="99" spans="1:19" s="173" customFormat="1" ht="15">
      <c r="A99" s="173" t="s">
        <v>264</v>
      </c>
      <c r="B99" s="173" t="s">
        <v>412</v>
      </c>
      <c r="C99" s="190">
        <f>VLOOKUP(A99,'Appendix B'!A:F,6,FALSE)</f>
        <v>785000</v>
      </c>
      <c r="D99" s="190">
        <f t="shared" si="7"/>
        <v>785000</v>
      </c>
      <c r="E99" s="190">
        <f>VLOOKUP(A99,Agresso!$A$2:$G$117,7,FALSE)</f>
        <v>75593.75</v>
      </c>
      <c r="F99" s="190">
        <f t="shared" si="6"/>
        <v>197192</v>
      </c>
      <c r="G99" s="190">
        <v>57383.5</v>
      </c>
      <c r="H99" s="190">
        <v>71670.5</v>
      </c>
      <c r="I99" s="190">
        <v>68138</v>
      </c>
      <c r="J99" s="190">
        <v>50161.5</v>
      </c>
      <c r="K99" s="190">
        <v>68138</v>
      </c>
      <c r="L99" s="190">
        <v>50161.5</v>
      </c>
      <c r="M99" s="190">
        <v>71670.5</v>
      </c>
      <c r="N99" s="190">
        <v>86036</v>
      </c>
      <c r="O99" s="190">
        <v>43018</v>
      </c>
      <c r="P99" s="190">
        <v>86036</v>
      </c>
      <c r="Q99" s="190">
        <v>64527</v>
      </c>
      <c r="R99" s="190">
        <v>68059.5</v>
      </c>
      <c r="S99"/>
    </row>
    <row r="100" spans="1:9" ht="15">
      <c r="A100" t="s">
        <v>224</v>
      </c>
      <c r="B100" t="s">
        <v>414</v>
      </c>
      <c r="C100" s="122">
        <f>VLOOKUP(A100,'Appendix B'!A:F,6,FALSE)</f>
        <v>19000</v>
      </c>
      <c r="D100" s="122">
        <f t="shared" si="7"/>
        <v>0</v>
      </c>
      <c r="E100" s="122">
        <f>VLOOKUP(A100,Agresso!$A$2:$G$117,7,FALSE)</f>
        <v>15.73</v>
      </c>
      <c r="F100" s="122">
        <f t="shared" si="6"/>
        <v>0</v>
      </c>
      <c r="H100" s="122">
        <v>0</v>
      </c>
      <c r="I100" s="122">
        <v>0</v>
      </c>
    </row>
    <row r="101" spans="1:9" ht="15">
      <c r="A101" t="s">
        <v>220</v>
      </c>
      <c r="B101" t="s">
        <v>415</v>
      </c>
      <c r="C101" s="122">
        <f>VLOOKUP(A101,'Appendix B'!A:F,6,FALSE)</f>
        <v>250000</v>
      </c>
      <c r="D101" s="122">
        <f aca="true" t="shared" si="9" ref="D101:D113">SUM(G101:R101)</f>
        <v>0</v>
      </c>
      <c r="E101" s="122">
        <f>VLOOKUP(A101,Agresso!$A$2:$G$117,7,FALSE)</f>
        <v>35898.59</v>
      </c>
      <c r="F101" s="122">
        <f t="shared" si="6"/>
        <v>0</v>
      </c>
      <c r="H101" s="122">
        <v>0</v>
      </c>
      <c r="I101" s="122">
        <v>0</v>
      </c>
    </row>
    <row r="102" spans="1:6" ht="15">
      <c r="A102" t="s">
        <v>242</v>
      </c>
      <c r="B102" t="s">
        <v>416</v>
      </c>
      <c r="C102" s="122">
        <f>VLOOKUP(A102,'Appendix B'!A:F,6,FALSE)</f>
        <v>150000</v>
      </c>
      <c r="D102" s="122">
        <f t="shared" si="9"/>
        <v>0</v>
      </c>
      <c r="E102" s="122">
        <f>VLOOKUP(A102,Agresso!$A$2:$G$117,7,FALSE)</f>
        <v>0</v>
      </c>
      <c r="F102" s="122">
        <f t="shared" si="6"/>
        <v>0</v>
      </c>
    </row>
    <row r="103" spans="1:6" ht="15">
      <c r="A103" t="s">
        <v>244</v>
      </c>
      <c r="B103" t="s">
        <v>417</v>
      </c>
      <c r="C103" s="122">
        <f>VLOOKUP(A103,'Appendix B'!A:F,6,FALSE)</f>
        <v>100000</v>
      </c>
      <c r="D103" s="122">
        <f t="shared" si="9"/>
        <v>0</v>
      </c>
      <c r="E103" s="122">
        <f>VLOOKUP(A103,Agresso!$A$2:$G$117,7,FALSE)</f>
        <v>0</v>
      </c>
      <c r="F103" s="122">
        <f t="shared" si="6"/>
        <v>0</v>
      </c>
    </row>
    <row r="104" spans="1:6" ht="15">
      <c r="A104" t="s">
        <v>240</v>
      </c>
      <c r="B104" t="s">
        <v>418</v>
      </c>
      <c r="C104" s="122">
        <f>VLOOKUP(A104,'Appendix B'!A:F,6,FALSE)</f>
        <v>117000</v>
      </c>
      <c r="D104" s="122">
        <f t="shared" si="9"/>
        <v>0</v>
      </c>
      <c r="E104" s="122">
        <f>VLOOKUP(A104,Agresso!$A$2:$G$117,7,FALSE)</f>
        <v>0</v>
      </c>
      <c r="F104" s="122">
        <f t="shared" si="6"/>
        <v>0</v>
      </c>
    </row>
    <row r="105" spans="1:9" ht="15">
      <c r="A105" t="s">
        <v>252</v>
      </c>
      <c r="B105" t="s">
        <v>419</v>
      </c>
      <c r="C105" s="122">
        <f>VLOOKUP(A105,'Appendix B'!A:F,6,FALSE)</f>
        <v>7744000</v>
      </c>
      <c r="D105" s="122">
        <f t="shared" si="9"/>
        <v>0</v>
      </c>
      <c r="E105" s="122">
        <f>VLOOKUP(A105,Agresso!$A$2:$G$117,7,FALSE)</f>
        <v>55307.87</v>
      </c>
      <c r="F105" s="122">
        <f t="shared" si="6"/>
        <v>0</v>
      </c>
      <c r="H105" s="122">
        <v>0</v>
      </c>
      <c r="I105" s="122">
        <v>0</v>
      </c>
    </row>
    <row r="106" spans="1:6" ht="15">
      <c r="A106" t="s">
        <v>420</v>
      </c>
      <c r="B106" t="s">
        <v>421</v>
      </c>
      <c r="C106" s="122">
        <f>VLOOKUP(A106,'Appendix B'!A:F,6,FALSE)</f>
        <v>2200000</v>
      </c>
      <c r="D106" s="122">
        <f t="shared" si="9"/>
        <v>0</v>
      </c>
      <c r="E106" s="122">
        <f>VLOOKUP(A106,Agresso!$A$2:$G$117,7,FALSE)</f>
        <v>0</v>
      </c>
      <c r="F106" s="122">
        <f t="shared" si="6"/>
        <v>0</v>
      </c>
    </row>
    <row r="107" spans="1:6" ht="15">
      <c r="A107" t="s">
        <v>422</v>
      </c>
      <c r="B107" t="s">
        <v>423</v>
      </c>
      <c r="C107" s="122">
        <f>VLOOKUP(A107,'Appendix B'!A:F,6,FALSE)</f>
        <v>650000</v>
      </c>
      <c r="D107" s="122">
        <f t="shared" si="9"/>
        <v>0</v>
      </c>
      <c r="E107" s="122">
        <f>VLOOKUP(A107,Agresso!$A$2:$G$117,7,FALSE)</f>
        <v>0</v>
      </c>
      <c r="F107" s="122">
        <f t="shared" si="6"/>
        <v>0</v>
      </c>
    </row>
    <row r="108" spans="1:17" ht="15">
      <c r="A108" t="s">
        <v>424</v>
      </c>
      <c r="B108" t="s">
        <v>425</v>
      </c>
      <c r="C108" s="122">
        <f>VLOOKUP(A108,'Appendix B'!A:F,6,FALSE)</f>
        <v>500000</v>
      </c>
      <c r="D108" s="122">
        <f t="shared" si="9"/>
        <v>500000</v>
      </c>
      <c r="E108" s="122">
        <f>VLOOKUP(A108,Agresso!$A$2:$G$117,7,FALSE)</f>
        <v>19125</v>
      </c>
      <c r="F108" s="122">
        <f t="shared" si="6"/>
        <v>20000</v>
      </c>
      <c r="I108" s="122">
        <v>20000</v>
      </c>
      <c r="J108" s="122">
        <v>10000</v>
      </c>
      <c r="K108" s="122">
        <v>10000</v>
      </c>
      <c r="L108" s="122">
        <v>10000</v>
      </c>
      <c r="O108" s="122">
        <v>150000</v>
      </c>
      <c r="P108" s="122">
        <v>150000</v>
      </c>
      <c r="Q108" s="122">
        <v>150000</v>
      </c>
    </row>
    <row r="109" spans="1:3" ht="15">
      <c r="A109" t="s">
        <v>61</v>
      </c>
      <c r="B109" t="s">
        <v>745</v>
      </c>
      <c r="C109" s="122">
        <f>VLOOKUP(A109,'Appendix B'!A:F,6,FALSE)</f>
        <v>90000</v>
      </c>
    </row>
    <row r="110" spans="1:19" s="173" customFormat="1" ht="15">
      <c r="A110" s="173" t="s">
        <v>185</v>
      </c>
      <c r="B110" s="173" t="s">
        <v>426</v>
      </c>
      <c r="C110" s="190">
        <f>VLOOKUP(A110,'Appendix B'!A:F,6,FALSE)</f>
        <v>2741579</v>
      </c>
      <c r="D110" s="190">
        <f t="shared" si="9"/>
        <v>2741579.0000000005</v>
      </c>
      <c r="E110" s="190">
        <f>VLOOKUP(A110,Agresso!$A$2:$G$117,7,FALSE)</f>
        <v>587697.73</v>
      </c>
      <c r="F110" s="190">
        <f t="shared" si="6"/>
        <v>683200.84</v>
      </c>
      <c r="G110" s="190">
        <v>385191.35</v>
      </c>
      <c r="H110" s="190">
        <v>220971.62</v>
      </c>
      <c r="I110" s="190">
        <v>77037.87</v>
      </c>
      <c r="J110" s="190">
        <v>238516.9</v>
      </c>
      <c r="K110" s="190">
        <v>139272.16</v>
      </c>
      <c r="L110" s="190">
        <v>247290.54</v>
      </c>
      <c r="M110" s="190">
        <v>283753.45</v>
      </c>
      <c r="N110" s="190">
        <v>291704.28</v>
      </c>
      <c r="O110" s="190">
        <v>344342.12</v>
      </c>
      <c r="P110" s="190">
        <v>222067.7</v>
      </c>
      <c r="Q110" s="190">
        <v>235776.2</v>
      </c>
      <c r="R110" s="190">
        <v>55654.81</v>
      </c>
      <c r="S110"/>
    </row>
    <row r="111" spans="1:19" s="173" customFormat="1" ht="15">
      <c r="A111" s="173" t="s">
        <v>193</v>
      </c>
      <c r="B111" s="173" t="s">
        <v>427</v>
      </c>
      <c r="C111" s="190">
        <f>VLOOKUP(A111,'Appendix B'!A:F,6,FALSE)</f>
        <v>176945</v>
      </c>
      <c r="D111" s="190">
        <f t="shared" si="9"/>
        <v>176945</v>
      </c>
      <c r="E111" s="190">
        <f>VLOOKUP(A111,Agresso!$A$2:$G$117,7,FALSE)</f>
        <v>51576.3</v>
      </c>
      <c r="F111" s="190">
        <f t="shared" si="6"/>
        <v>49155.32</v>
      </c>
      <c r="G111" s="190">
        <v>4919.07</v>
      </c>
      <c r="H111" s="190">
        <v>14739.52</v>
      </c>
      <c r="I111" s="190">
        <v>29496.73</v>
      </c>
      <c r="J111" s="190">
        <v>39317.18</v>
      </c>
      <c r="K111" s="190">
        <v>29496.73</v>
      </c>
      <c r="L111" s="190">
        <v>19658.59</v>
      </c>
      <c r="M111" s="190">
        <v>14739.52</v>
      </c>
      <c r="N111" s="190">
        <v>14739.52</v>
      </c>
      <c r="O111" s="190">
        <v>9838.14</v>
      </c>
      <c r="P111" s="190"/>
      <c r="Q111" s="190"/>
      <c r="R111" s="190">
        <v>0</v>
      </c>
      <c r="S111"/>
    </row>
    <row r="112" spans="1:19" s="173" customFormat="1" ht="15">
      <c r="A112" s="173" t="s">
        <v>429</v>
      </c>
      <c r="B112" s="173" t="s">
        <v>430</v>
      </c>
      <c r="C112" s="190">
        <f>VLOOKUP(A112,'Appendix B'!A:F,6,FALSE)</f>
        <v>80000</v>
      </c>
      <c r="D112" s="190">
        <f t="shared" si="9"/>
        <v>80000</v>
      </c>
      <c r="E112" s="190">
        <f>VLOOKUP(A112,Agresso!$A$2:$G$117,7,FALSE)</f>
        <v>0</v>
      </c>
      <c r="F112" s="190">
        <f t="shared" si="6"/>
        <v>0</v>
      </c>
      <c r="G112" s="190"/>
      <c r="H112" s="190"/>
      <c r="I112" s="190"/>
      <c r="J112" s="190"/>
      <c r="K112" s="190"/>
      <c r="L112" s="190"/>
      <c r="M112" s="190">
        <v>40000</v>
      </c>
      <c r="N112" s="190">
        <v>40000</v>
      </c>
      <c r="O112" s="190"/>
      <c r="P112" s="190"/>
      <c r="Q112" s="190"/>
      <c r="R112" s="190"/>
      <c r="S112"/>
    </row>
    <row r="113" spans="1:19" s="173" customFormat="1" ht="15">
      <c r="A113" s="173" t="s">
        <v>431</v>
      </c>
      <c r="B113" s="173" t="s">
        <v>432</v>
      </c>
      <c r="C113" s="190">
        <f>VLOOKUP(A113,'Appendix B'!A:F,6,FALSE)</f>
        <v>100000</v>
      </c>
      <c r="D113" s="190">
        <f t="shared" si="9"/>
        <v>100000</v>
      </c>
      <c r="E113" s="190">
        <f>VLOOKUP(A113,Agresso!$A$2:$G$117,7,FALSE)</f>
        <v>0</v>
      </c>
      <c r="F113" s="190">
        <f t="shared" si="6"/>
        <v>0</v>
      </c>
      <c r="G113" s="190"/>
      <c r="H113" s="190"/>
      <c r="I113" s="190"/>
      <c r="J113" s="190">
        <v>25000</v>
      </c>
      <c r="K113" s="190">
        <v>25000</v>
      </c>
      <c r="L113" s="190">
        <v>25000</v>
      </c>
      <c r="M113" s="190">
        <v>25000</v>
      </c>
      <c r="N113" s="190"/>
      <c r="O113" s="190"/>
      <c r="P113" s="190"/>
      <c r="Q113" s="190"/>
      <c r="R113" s="190"/>
      <c r="S113"/>
    </row>
    <row r="114" spans="1:19" s="1" customFormat="1" ht="15">
      <c r="A114" s="1" t="s">
        <v>709</v>
      </c>
      <c r="C114" s="206">
        <f aca="true" t="shared" si="10" ref="C114:R114">SUM(C2:C113)</f>
        <v>37695510</v>
      </c>
      <c r="D114" s="206">
        <f t="shared" si="10"/>
        <v>22671243</v>
      </c>
      <c r="E114" s="206">
        <f t="shared" si="10"/>
        <v>3120644.1999999997</v>
      </c>
      <c r="F114" s="206">
        <f t="shared" si="10"/>
        <v>3055489.76</v>
      </c>
      <c r="G114" s="206">
        <f t="shared" si="10"/>
        <v>1019399.4866666666</v>
      </c>
      <c r="H114" s="206">
        <f t="shared" si="10"/>
        <v>932267.8066666666</v>
      </c>
      <c r="I114" s="206">
        <f t="shared" si="10"/>
        <v>1103822.4666666666</v>
      </c>
      <c r="J114" s="206">
        <f t="shared" si="10"/>
        <v>1266767.3688888887</v>
      </c>
      <c r="K114" s="206">
        <f t="shared" si="10"/>
        <v>1572742.1788888888</v>
      </c>
      <c r="L114" s="206">
        <f t="shared" si="10"/>
        <v>1897492.9188888893</v>
      </c>
      <c r="M114" s="206">
        <f t="shared" si="10"/>
        <v>2069593.558888889</v>
      </c>
      <c r="N114" s="206">
        <f t="shared" si="10"/>
        <v>1950373.7888888891</v>
      </c>
      <c r="O114" s="206">
        <f t="shared" si="10"/>
        <v>2166492.048888889</v>
      </c>
      <c r="P114" s="206">
        <f t="shared" si="10"/>
        <v>2175185.7055555554</v>
      </c>
      <c r="Q114" s="206">
        <f t="shared" si="10"/>
        <v>2027810.6955555554</v>
      </c>
      <c r="R114" s="206">
        <f t="shared" si="10"/>
        <v>4489294.975555555</v>
      </c>
      <c r="S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C(B) - June 2013 monitoring – Capital Programme Forecast Outturn</dc:title>
  <dc:subject/>
  <dc:creator>Oxford City Council</dc:creator>
  <cp:keywords>Council meetings;Government, politics and public administration; Local government; Decision making; Council meetings;</cp:keywords>
  <dc:description/>
  <cp:lastModifiedBy>Sarah.Claridge</cp:lastModifiedBy>
  <cp:lastPrinted>2013-08-29T13:41:12Z</cp:lastPrinted>
  <dcterms:created xsi:type="dcterms:W3CDTF">2013-05-23T08:47:42Z</dcterms:created>
  <dcterms:modified xsi:type="dcterms:W3CDTF">2013-08-29T13:41:31Z</dcterms:modified>
  <cp:category/>
  <cp:version/>
  <cp:contentType/>
  <cp:contentStatus/>
</cp:coreProperties>
</file>